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defaultThemeVersion="124226"/>
  <mc:AlternateContent xmlns:mc="http://schemas.openxmlformats.org/markup-compatibility/2006">
    <mc:Choice Requires="x15">
      <x15ac:absPath xmlns:x15ac="http://schemas.microsoft.com/office/spreadsheetml/2010/11/ac" url="D:\OneDrive\Copy\BC KH2019\KH Đầu tư công điều chỉnh và KH 2019 sau họp HĐND tỉnh\KH 2019\"/>
    </mc:Choice>
  </mc:AlternateContent>
  <xr:revisionPtr revIDLastSave="15" documentId="8_{5C0151E6-A7AE-4B34-88F4-13A2E9EFDE4A}" xr6:coauthVersionLast="40" xr6:coauthVersionMax="40" xr10:uidLastSave="{75EACECA-B38D-4F63-858A-7673CE9F77B0}"/>
  <bookViews>
    <workbookView xWindow="0" yWindow="0" windowWidth="19200" windowHeight="6960" xr2:uid="{00000000-000D-0000-FFFF-FFFF00000000}"/>
  </bookViews>
  <sheets>
    <sheet name="Du kien VonNSDP 2019" sheetId="20" r:id="rId1"/>
    <sheet name="TC.ĐM 2016-2020(không in)" sheetId="21" r:id="rId2"/>
    <sheet name="ODAKH NSNN" sheetId="4" state="hidden" r:id="rId3"/>
    <sheet name="NC07 TH TPCP" sheetId="5" state="hidden" r:id="rId4"/>
    <sheet name="NC08 TPCP KH" sheetId="6" state="hidden" r:id="rId5"/>
    <sheet name="NC11 PPP" sheetId="7" state="hidden" r:id="rId6"/>
    <sheet name="BM18 BC nam DP" sheetId="8" state="hidden" r:id="rId7"/>
    <sheet name="Quy2THDP" sheetId="10" state="hidden" r:id="rId8"/>
    <sheet name="Quy2TPCPDP" sheetId="12" state="hidden" r:id="rId9"/>
    <sheet name="Quy2von khac Dp" sheetId="14" state="hidden" r:id="rId10"/>
  </sheets>
  <definedNames>
    <definedName name="____a1" localSheetId="1" hidden="1">{"'Sheet1'!$L$16"}</definedName>
    <definedName name="____a1" hidden="1">{"'Sheet1'!$L$16"}</definedName>
    <definedName name="____B1" localSheetId="1" hidden="1">{"'Sheet1'!$L$16"}</definedName>
    <definedName name="____B1" hidden="1">{"'Sheet1'!$L$16"}</definedName>
    <definedName name="____ban2" localSheetId="1" hidden="1">{"'Sheet1'!$L$16"}</definedName>
    <definedName name="____ban2" hidden="1">{"'Sheet1'!$L$16"}</definedName>
    <definedName name="____h1" localSheetId="1" hidden="1">{"'Sheet1'!$L$16"}</definedName>
    <definedName name="____h1" hidden="1">{"'Sheet1'!$L$16"}</definedName>
    <definedName name="____hu1" localSheetId="1" hidden="1">{"'Sheet1'!$L$16"}</definedName>
    <definedName name="____hu1" hidden="1">{"'Sheet1'!$L$16"}</definedName>
    <definedName name="____hu2" localSheetId="1" hidden="1">{"'Sheet1'!$L$16"}</definedName>
    <definedName name="____hu2" hidden="1">{"'Sheet1'!$L$16"}</definedName>
    <definedName name="____hu5" localSheetId="1" hidden="1">{"'Sheet1'!$L$16"}</definedName>
    <definedName name="____hu5" hidden="1">{"'Sheet1'!$L$16"}</definedName>
    <definedName name="____hu6" localSheetId="1" hidden="1">{"'Sheet1'!$L$16"}</definedName>
    <definedName name="____hu6" hidden="1">{"'Sheet1'!$L$16"}</definedName>
    <definedName name="____M36" localSheetId="1" hidden="1">{"'Sheet1'!$L$16"}</definedName>
    <definedName name="____M36" hidden="1">{"'Sheet1'!$L$16"}</definedName>
    <definedName name="____NSO2" hidden="1">{"'Sheet1'!$L$16"}</definedName>
    <definedName name="____PA3" localSheetId="1" hidden="1">{"'Sheet1'!$L$16"}</definedName>
    <definedName name="____PA3" hidden="1">{"'Sheet1'!$L$16"}</definedName>
    <definedName name="____Pl2" localSheetId="1" hidden="1">{"'Sheet1'!$L$16"}</definedName>
    <definedName name="____Pl2" hidden="1">{"'Sheet1'!$L$16"}</definedName>
    <definedName name="____Tru21" localSheetId="1" hidden="1">{"'Sheet1'!$L$16"}</definedName>
    <definedName name="____Tru21" hidden="1">{"'Sheet1'!$L$16"}</definedName>
    <definedName name="___a1" localSheetId="1" hidden="1">{"'Sheet1'!$L$16"}</definedName>
    <definedName name="___a1" hidden="1">{"'Sheet1'!$L$16"}</definedName>
    <definedName name="___B1" localSheetId="1" hidden="1">{"'Sheet1'!$L$16"}</definedName>
    <definedName name="___B1" hidden="1">{"'Sheet1'!$L$16"}</definedName>
    <definedName name="___ban2" localSheetId="1" hidden="1">{"'Sheet1'!$L$16"}</definedName>
    <definedName name="___ban2" hidden="1">{"'Sheet1'!$L$16"}</definedName>
    <definedName name="___boi1">#REF!</definedName>
    <definedName name="___boi2">#REF!</definedName>
    <definedName name="___boi3">#REF!</definedName>
    <definedName name="___boi4">#REF!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ao1">#REF!</definedName>
    <definedName name="___dbu1">#REF!</definedName>
    <definedName name="___dbu2">#REF!</definedName>
    <definedName name="___ddn400">#REF!</definedName>
    <definedName name="___ddn600">#REF!</definedName>
    <definedName name="___gon4">#REF!</definedName>
    <definedName name="___h1" localSheetId="1" hidden="1">{"'Sheet1'!$L$16"}</definedName>
    <definedName name="___h1" hidden="1">{"'Sheet1'!$L$16"}</definedName>
    <definedName name="___hsm2">1.1289</definedName>
    <definedName name="___hu1" localSheetId="1" hidden="1">{"'Sheet1'!$L$16"}</definedName>
    <definedName name="___hu1" hidden="1">{"'Sheet1'!$L$16"}</definedName>
    <definedName name="___hu2" localSheetId="1" hidden="1">{"'Sheet1'!$L$16"}</definedName>
    <definedName name="___hu2" hidden="1">{"'Sheet1'!$L$16"}</definedName>
    <definedName name="___hu5" localSheetId="1" hidden="1">{"'Sheet1'!$L$16"}</definedName>
    <definedName name="___hu5"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p1">#REF!</definedName>
    <definedName name="___lap2">#REF!</definedName>
    <definedName name="___M36" localSheetId="1" hidden="1">{"'Sheet1'!$L$16"}</definedName>
    <definedName name="___M36" hidden="1">{"'Sheet1'!$L$16"}</definedName>
    <definedName name="___MAC12">#REF!</definedName>
    <definedName name="___MAC46">#REF!</definedName>
    <definedName name="___NET2">#REF!</definedName>
    <definedName name="___NSO2" localSheetId="1" hidden="1">{"'Sheet1'!$L$16"}</definedName>
    <definedName name="___NSO2" hidden="1">{"'Sheet1'!$L$16"}</definedName>
    <definedName name="___PA3" localSheetId="1"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1242">#REF!</definedName>
    <definedName name="___Pl2" localSheetId="1" hidden="1">{"'Sheet1'!$L$16"}</definedName>
    <definedName name="___Pl2" hidden="1">{"'Sheet1'!$L$16"}</definedName>
    <definedName name="___PL3" hidden="1">#REF!</definedName>
    <definedName name="___sat10">#REF!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H1">#REF!</definedName>
    <definedName name="___TH2">#REF!</definedName>
    <definedName name="___TH3">#REF!</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localSheetId="1" hidden="1">{"'Sheet1'!$L$16"}</definedName>
    <definedName name="___Tru21" hidden="1">{"'Sheet1'!$L$16"}</definedName>
    <definedName name="___vc1">#REF!</definedName>
    <definedName name="___vc2">#REF!</definedName>
    <definedName name="___vc3">#REF!</definedName>
    <definedName name="___vl2" hidden="1">{"'Sheet1'!$L$16"}</definedName>
    <definedName name="__a1" localSheetId="1" hidden="1">{"'Sheet1'!$L$16"}</definedName>
    <definedName name="__a1" hidden="1">{"'Sheet1'!$L$16"}</definedName>
    <definedName name="__B1" localSheetId="1" hidden="1">{"'Sheet1'!$L$16"}</definedName>
    <definedName name="__B1" hidden="1">{"'Sheet1'!$L$16"}</definedName>
    <definedName name="__ban2" localSheetId="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n4">#REF!</definedName>
    <definedName name="__h1" localSheetId="1" hidden="1">{"'Sheet1'!$L$16"}</definedName>
    <definedName name="__h1" hidden="1">{"'Sheet1'!$L$16"}</definedName>
    <definedName name="__hom2">#REF!</definedName>
    <definedName name="__hsm2">1.1289</definedName>
    <definedName name="__hu1" localSheetId="1" hidden="1">{"'Sheet1'!$L$16"}</definedName>
    <definedName name="__hu1" hidden="1">{"'Sheet1'!$L$16"}</definedName>
    <definedName name="__hu2" localSheetId="1" hidden="1">{"'Sheet1'!$L$16"}</definedName>
    <definedName name="__hu2" hidden="1">{"'Sheet1'!$L$16"}</definedName>
    <definedName name="__hu5" localSheetId="1" hidden="1">{"'Sheet1'!$L$16"}</definedName>
    <definedName name="__hu5" hidden="1">{"'Sheet1'!$L$16"}</definedName>
    <definedName name="__hu6" localSheetId="1" hidden="1">{"'Sheet1'!$L$16"}</definedName>
    <definedName name="__hu6" hidden="1">{"'Sheet1'!$L$16"}</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p1">#REF!</definedName>
    <definedName name="__lap2">#REF!</definedName>
    <definedName name="__M36" localSheetId="1"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1" hidden="1">{"'Sheet1'!$L$16"}</definedName>
    <definedName name="__NSO2" hidden="1">{"'Sheet1'!$L$16"}</definedName>
    <definedName name="__PA3" localSheetId="1"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localSheetId="1" hidden="1">{"'Sheet1'!$L$16"}</definedName>
    <definedName name="__Pl2"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u21" localSheetId="1" hidden="1">{"'Sheet1'!$L$16"}</definedName>
    <definedName name="__Tru21" hidden="1">{"'Sheet1'!$L$16"}</definedName>
    <definedName name="__vc1">#REF!</definedName>
    <definedName name="__vc2">#REF!</definedName>
    <definedName name="__vc3">#REF!</definedName>
    <definedName name="__VL100">#REF!</definedName>
    <definedName name="__vl2" hidden="1">{"'Sheet1'!$L$16"}</definedName>
    <definedName name="__VL250">#REF!</definedName>
    <definedName name="_1">#N/A</definedName>
    <definedName name="_1000A01">#N/A</definedName>
    <definedName name="_2">#N/A</definedName>
    <definedName name="_40x4">5100</definedName>
    <definedName name="_a1" localSheetId="1" hidden="1">{"'Sheet1'!$L$16"}</definedName>
    <definedName name="_a1" hidden="1">{"'Sheet1'!$L$16"}</definedName>
    <definedName name="_B1" localSheetId="1" hidden="1">{"'Sheet1'!$L$16"}</definedName>
    <definedName name="_B1" hidden="1">{"'Sheet1'!$L$16"}</definedName>
    <definedName name="_ban2" localSheetId="1" hidden="1">{"'Sheet1'!$L$16"}</definedName>
    <definedName name="_ban2" hidden="1">{"'Sheet1'!$L$16"}</definedName>
    <definedName name="_boi1">#REF!</definedName>
    <definedName name="_boi2">#REF!</definedName>
    <definedName name="_boi3">#REF!</definedName>
    <definedName name="_boi4">#REF!</definedName>
    <definedName name="_btm10">#REF!</definedName>
    <definedName name="_btm100">#REF!</definedName>
    <definedName name="_BTM250">#REF!</definedName>
    <definedName name="_btM300">#REF!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ill" localSheetId="1" hidden="1">#REF!</definedName>
    <definedName name="_Fill" hidden="1">#REF!</definedName>
    <definedName name="_xlnm._FilterDatabase" localSheetId="0" hidden="1">'Du kien VonNSDP 2019'!$13:$453</definedName>
    <definedName name="_xlnm._FilterDatabase" localSheetId="1" hidden="1">#REF!</definedName>
    <definedName name="_xlnm._FilterDatabase" hidden="1">#REF!</definedName>
    <definedName name="_ftn1" localSheetId="7">Quy2THDP!#REF!</definedName>
    <definedName name="_ftnref1" localSheetId="7">Quy2THDP!$E$10</definedName>
    <definedName name="_gon4">#REF!</definedName>
    <definedName name="_h1" localSheetId="1" hidden="1">{"'Sheet1'!$L$16"}</definedName>
    <definedName name="_h1" hidden="1">{"'Sheet1'!$L$16"}</definedName>
    <definedName name="_hom2">#REF!</definedName>
    <definedName name="_hsm2">1.1289</definedName>
    <definedName name="_hu1" localSheetId="1" hidden="1">{"'Sheet1'!$L$16"}</definedName>
    <definedName name="_hu1" hidden="1">{"'Sheet1'!$L$16"}</definedName>
    <definedName name="_hu2" localSheetId="1" hidden="1">{"'Sheet1'!$L$16"}</definedName>
    <definedName name="_hu2" hidden="1">{"'Sheet1'!$L$16"}</definedName>
    <definedName name="_hu5" localSheetId="1" hidden="1">{"'Sheet1'!$L$16"}</definedName>
    <definedName name="_hu5" hidden="1">{"'Sheet1'!$L$16"}</definedName>
    <definedName name="_hu6" localSheetId="1" hidden="1">{"'Sheet1'!$L$16"}</definedName>
    <definedName name="_hu6" hidden="1">{"'Sheet1'!$L$16"}</definedName>
    <definedName name="_isc1">0.035</definedName>
    <definedName name="_isc2">0.02</definedName>
    <definedName name="_isc3">0.054</definedName>
    <definedName name="_Key1" localSheetId="1" hidden="1">#REF!</definedName>
    <definedName name="_Key1" hidden="1">#REF!</definedName>
    <definedName name="_Key2" localSheetId="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36" localSheetId="1" hidden="1">{"'Sheet1'!$L$16"}</definedName>
    <definedName name="_M36" hidden="1">{"'Sheet1'!$L$16"}</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NSO2" localSheetId="1" hidden="1">{"'Sheet1'!$L$16"}</definedName>
    <definedName name="_NSO2" hidden="1">{"'Sheet1'!$L$16"}</definedName>
    <definedName name="_Order1" hidden="1">255</definedName>
    <definedName name="_Order2" hidden="1">255</definedName>
    <definedName name="_PA3" localSheetId="1" hidden="1">{"'Sheet1'!$L$16"}</definedName>
    <definedName name="_PA3" hidden="1">{"'Sheet1'!$L$16"}</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L1242">#REF!</definedName>
    <definedName name="_Pl2" localSheetId="1" hidden="1">{"'Sheet1'!$L$16"}</definedName>
    <definedName name="_Pl2" hidden="1">{"'Sheet1'!$L$16"}</definedName>
    <definedName name="_PL3" localSheetId="1" hidden="1">#REF!</definedName>
    <definedName name="_PL3" hidden="1">#REF!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 localSheetId="1" hidden="1">#REF!</definedName>
    <definedName name="_Sort" hidden="1">#REF!</definedName>
    <definedName name="_Sta1">531.877</definedName>
    <definedName name="_Sta2">561.952</definedName>
    <definedName name="_Sta3">712.202</definedName>
    <definedName name="_Sta4">762.202</definedName>
    <definedName name="_sua20">#REF!</definedName>
    <definedName name="_sua30">#REF!</definedName>
    <definedName name="_TB1">#REF!</definedName>
    <definedName name="_TH1">#REF!</definedName>
    <definedName name="_TH2">#REF!</definedName>
    <definedName name="_TH3">#REF!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u21" localSheetId="1" hidden="1">{"'Sheet1'!$L$16"}</definedName>
    <definedName name="_Tru21" hidden="1">{"'Sheet1'!$L$16"}</definedName>
    <definedName name="_vc1">#REF!</definedName>
    <definedName name="_vc2">#REF!</definedName>
    <definedName name="_vc3">#REF!</definedName>
    <definedName name="_VL100">#REF!</definedName>
    <definedName name="_vl2" hidden="1">{"'Sheet1'!$L$16"}</definedName>
    <definedName name="_VL250">#REF!</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localSheetId="1">#REF!</definedName>
    <definedName name="ABC" hidden="1">#REF!</definedName>
    <definedName name="AC120_">#REF!</definedName>
    <definedName name="AC35_">#REF!</definedName>
    <definedName name="AC50_">#REF!</definedName>
    <definedName name="AC70_">#REF!</definedName>
    <definedName name="AC95_">#REF!</definedName>
    <definedName name="All_Item">#REF!</definedName>
    <definedName name="ALPIN">#N/A</definedName>
    <definedName name="ALPJYOU">#N/A</definedName>
    <definedName name="ALPTOI">#N/A</definedName>
    <definedName name="anpha">#REF!</definedName>
    <definedName name="anscount" hidden="1">3</definedName>
    <definedName name="ATGT" localSheetId="1" hidden="1">{"'Sheet1'!$L$16"}</definedName>
    <definedName name="ATGT" hidden="1">{"'Sheet1'!$L$16"}</definedName>
    <definedName name="B.nuamat">7.25</definedName>
    <definedName name="b_240">#REF!</definedName>
    <definedName name="b_280">#REF!</definedName>
    <definedName name="b_320">#REF!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gam">#REF!</definedName>
    <definedName name="benuoc">#REF!</definedName>
    <definedName name="beta">#REF!</definedName>
    <definedName name="blkh">#REF!</definedName>
    <definedName name="blkh1">#REF!</definedName>
    <definedName name="Bm">3.5</definedName>
    <definedName name="Bn">6.5</definedName>
    <definedName name="Book2">#REF!</definedName>
    <definedName name="BOQ">#REF!</definedName>
    <definedName name="BT">#REF!</definedName>
    <definedName name="btchiuaxitm300">#REF!</definedName>
    <definedName name="BTchiuaxm200">#REF!</definedName>
    <definedName name="btcocM4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H">#REF!</definedName>
    <definedName name="chitietbgiang2" localSheetId="1" hidden="1">{"'Sheet1'!$L$16"}</definedName>
    <definedName name="chitietbgiang2" hidden="1">{"'Sheet1'!$L$16"}</definedName>
    <definedName name="chon">#REF!</definedName>
    <definedName name="chon1">#REF!</definedName>
    <definedName name="chon2">#REF!</definedName>
    <definedName name="chon3">#REF!</definedName>
    <definedName name="chung">66</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c">#REF!</definedName>
    <definedName name="CoCauN" localSheetId="1" hidden="1">{"'Sheet1'!$L$16"}</definedName>
    <definedName name="CoCauN" hidden="1">{"'Sheet1'!$L$16"}</definedName>
    <definedName name="cocbtct">#REF!</definedName>
    <definedName name="cocot">#REF!</definedName>
    <definedName name="cocott">#REF!</definedName>
    <definedName name="Code" localSheetId="1" hidden="1">#REF!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localSheetId="1" hidden="1">#REF!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1"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localSheetId="1" hidden="1">#REF!</definedName>
    <definedName name="data1" hidden="1">#REF!</definedName>
    <definedName name="data2" localSheetId="1" hidden="1">#REF!</definedName>
    <definedName name="data2" hidden="1">#REF!</definedName>
    <definedName name="data3" localSheetId="1" hidden="1">#REF!</definedName>
    <definedName name="data3" hidden="1">#REF!</definedName>
    <definedName name="_xlnm.Database">#REF!</definedName>
    <definedName name="DCL_22">12117600</definedName>
    <definedName name="DCL_35">25490000</definedName>
    <definedName name="DD">#REF!</definedName>
    <definedName name="DDAY">#REF!</definedName>
    <definedName name="dddem">0.1</definedName>
    <definedName name="DDK">#REF!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bdII">#REF!</definedName>
    <definedName name="DGCTI592">#REF!</definedName>
    <definedName name="DGNC">#REF!</definedName>
    <definedName name="dgqndn">#REF!</definedName>
    <definedName name="DGTV">#REF!</definedName>
    <definedName name="dgvl">#REF!</definedName>
    <definedName name="DGVT">#REF!</definedName>
    <definedName name="dhom">#REF!</definedName>
    <definedName name="dien">#REF!</definedName>
    <definedName name="dientichck">#REF!</definedName>
    <definedName name="dinh2">#REF!</definedName>
    <definedName name="Discount" localSheetId="1" hidden="1">#REF!</definedName>
    <definedName name="Discount" hidden="1">#REF!</definedName>
    <definedName name="display_area_2" localSheetId="1"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f" hidden="1">#REF!</definedName>
    <definedName name="ds" localSheetId="1"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h" localSheetId="1"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toanDongmo">#REF!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CTOR">#REF!</definedName>
    <definedName name="FCode" localSheetId="1" hidden="1">#REF!</definedName>
    <definedName name="FCode" hidden="1">#REF!</definedName>
    <definedName name="FI_12">4820</definedName>
    <definedName name="g" localSheetId="1" hidden="1">{"'Sheet1'!$L$16"}</definedName>
    <definedName name="g" hidden="1">{"'Sheet1'!$L$16"}</definedName>
    <definedName name="G_ME">#REF!</definedName>
    <definedName name="gach">#REF!</definedName>
    <definedName name="geo">#REF!</definedName>
    <definedName name="gg">#REF!</definedName>
    <definedName name="ghip">#REF!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tb">#REF!</definedName>
    <definedName name="gtbtt">#REF!</definedName>
    <definedName name="gtst">#REF!</definedName>
    <definedName name="GTXL">#REF!</definedName>
    <definedName name="Gxl">#REF!</definedName>
    <definedName name="gxltt">#REF!</definedName>
    <definedName name="h" localSheetId="1" hidden="1">{"'Sheet1'!$L$16"}</definedName>
    <definedName name="h" hidden="1">{"'Sheet1'!$L$16"}</definedName>
    <definedName name="H_THUCHTHH">#REF!</definedName>
    <definedName name="H_THUCTT">#REF!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h">#REF!</definedName>
    <definedName name="HHcat">#REF!</definedName>
    <definedName name="HHda">#REF!</definedName>
    <definedName name="HHTT">#REF!</definedName>
    <definedName name="HiddenRows" localSheetId="1" hidden="1">#REF!</definedName>
    <definedName name="HiddenRows" hidden="1">#REF!</definedName>
    <definedName name="hien">#REF!</definedName>
    <definedName name="Hinh_thuc">#REF!</definedName>
    <definedName name="HiÕu">#REF!</definedName>
    <definedName name="hoc">55000</definedName>
    <definedName name="HOME_MANP">#REF!</definedName>
    <definedName name="HOMEOFFICE_COST">#REF!</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HH">#REF!</definedName>
    <definedName name="htlm" localSheetId="1" hidden="1">{"'Sheet1'!$L$16"}</definedName>
    <definedName name="htlm" hidden="1">{"'Sheet1'!$L$16"}</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 localSheetId="1" hidden="1">{"'Sheet1'!$L$16"}</definedName>
    <definedName name="hu" hidden="1">{"'Sheet1'!$L$16"}</definedName>
    <definedName name="HUU" localSheetId="1" hidden="1">{"'Sheet1'!$L$16"}</definedName>
    <definedName name="HUU" hidden="1">{"'Sheet1'!$L$16"}</definedName>
    <definedName name="huy" localSheetId="1" hidden="1">{"'Sheet1'!$L$16"}</definedName>
    <definedName name="huy" hidden="1">{"'Sheet1'!$L$16"}</definedName>
    <definedName name="I">#REF!</definedName>
    <definedName name="IDLAB_COST">#REF!</definedName>
    <definedName name="IND_LAB">#REF!</definedName>
    <definedName name="INDMANP">#REF!</definedName>
    <definedName name="j" localSheetId="1" hidden="1">{"'Sheet1'!$L$16"}</definedName>
    <definedName name="j" hidden="1">{"'Sheet1'!$L$16"}</definedName>
    <definedName name="j356C8">#REF!</definedName>
    <definedName name="k" localSheetId="1" hidden="1">{"'Sheet1'!$L$16"}</definedName>
    <definedName name="k" hidden="1">{"'Sheet1'!$L$16"}</definedName>
    <definedName name="k2b">#REF!</definedName>
    <definedName name="kcong">#REF!</definedName>
    <definedName name="KH_Chang">#REF!</definedName>
    <definedName name="khac">2</definedName>
    <definedName name="KHOI_LUONG_DAT_DAO_DAP">#REF!</definedName>
    <definedName name="khongtruotgia" localSheetId="1" hidden="1">{"'Sheet1'!$L$16"}</definedName>
    <definedName name="khongtruotgia" hidden="1">{"'Sheet1'!$L$16"}</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ME">#REF!</definedName>
    <definedName name="KLTHDN">#REF!</definedName>
    <definedName name="KLVANKHUON">#REF!</definedName>
    <definedName name="kp1ph">#REF!</definedName>
    <definedName name="ksbn" localSheetId="1" hidden="1">{"'Sheet1'!$L$16"}</definedName>
    <definedName name="ksbn" hidden="1">{"'Sheet1'!$L$16"}</definedName>
    <definedName name="kshn" localSheetId="1" hidden="1">{"'Sheet1'!$L$16"}</definedName>
    <definedName name="kshn" hidden="1">{"'Sheet1'!$L$16"}</definedName>
    <definedName name="ksls" localSheetId="1" hidden="1">{"'Sheet1'!$L$16"}</definedName>
    <definedName name="ksls" hidden="1">{"'Sheet1'!$L$16"}</definedName>
    <definedName name="KSTK">#REF!</definedName>
    <definedName name="l" localSheetId="1" hidden="1">{"'Sheet1'!$L$16"}</definedName>
    <definedName name="l" hidden="1">{"'Sheet1'!$L$16"}</definedName>
    <definedName name="L_mong">#REF!</definedName>
    <definedName name="L63x6">5800</definedName>
    <definedName name="lan" hidden="1">{#N/A,#N/A,TRUE,"BT M200 da 10x20"}</definedName>
    <definedName name="langson" localSheetId="1"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localSheetId="1" hidden="1">#REF!</definedName>
    <definedName name="lk" hidden="1">#REF!</definedName>
    <definedName name="LK_hathe">#REF!</definedName>
    <definedName name="Lmk">#REF!</definedName>
    <definedName name="lntt">#REF!</definedName>
    <definedName name="Loai_TD">#REF!</definedName>
    <definedName name="m" localSheetId="1"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N">#REF!</definedName>
    <definedName name="mo" localSheetId="1" hidden="1">{"'Sheet1'!$L$16"}</definedName>
    <definedName name="mo" hidden="1">{"'Sheet1'!$L$16"}</definedName>
    <definedName name="moi" localSheetId="1" hidden="1">{"'Sheet1'!$L$16"}</definedName>
    <definedName name="moi" hidden="1">{"'Sheet1'!$L$16"}</definedName>
    <definedName name="mongbang">#REF!</definedName>
    <definedName name="mongdon">#REF!</definedName>
    <definedName name="Moùng">#REF!</definedName>
    <definedName name="MSCT">#REF!</definedName>
    <definedName name="mtcdg">#REF!</definedName>
    <definedName name="MTMAC12">#REF!</definedName>
    <definedName name="mtram">#REF!</definedName>
    <definedName name="myle">#REF!</definedName>
    <definedName name="n" localSheetId="1"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H">#REF!</definedName>
    <definedName name="nhn">#REF!</definedName>
    <definedName name="NHot">#REF!</definedName>
    <definedName name="nhu">#REF!</definedName>
    <definedName name="nhua">#REF!</definedName>
    <definedName name="nhuad">#REF!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g1p">#REF!</definedName>
    <definedName name="ningnc1p">#REF!</definedName>
    <definedName name="ningvl1p">#REF!</definedName>
    <definedName name="NINnc">#REF!</definedName>
    <definedName name="nint1p">#REF!</definedName>
    <definedName name="nintnc1p">#REF!</definedName>
    <definedName name="nintvl1p">#REF!</definedName>
    <definedName name="NINvc">#REF!</definedName>
    <definedName name="NINvl">#REF!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o">#REF!</definedName>
    <definedName name="nx">#REF!</definedName>
    <definedName name="ophom">#REF!</definedName>
    <definedName name="OrderTable" localSheetId="1" hidden="1">#REF!</definedName>
    <definedName name="OrderTable" hidden="1">#REF!</definedName>
    <definedName name="osc">#REF!</definedName>
    <definedName name="PA">#REF!</definedName>
    <definedName name="PAIII_" localSheetId="1" hidden="1">{"'Sheet1'!$L$16"}</definedName>
    <definedName name="PAIII_" hidden="1">{"'Sheet1'!$L$16"}</definedName>
    <definedName name="panen">#REF!</definedName>
    <definedName name="PHAN_DIEN_DZ0.4KV">#REF!</definedName>
    <definedName name="PHAN_DIEN_TBA">#REF!</definedName>
    <definedName name="PHAN_MUA_SAM_DZ0.4KV">#REF!</definedName>
    <definedName name="phu_luc_vua">#REF!</definedName>
    <definedName name="PLKL">#REF!</definedName>
    <definedName name="PMS" localSheetId="1" hidden="1">{"'Sheet1'!$L$16"}</definedName>
    <definedName name="PMS" hidden="1">{"'Sheet1'!$L$16"}</definedName>
    <definedName name="PRICE">#REF!</definedName>
    <definedName name="PRICE1">#REF!</definedName>
    <definedName name="_xlnm.Print_Area" localSheetId="6">'BM18 BC nam DP'!$A$1:$M$77</definedName>
    <definedName name="_xlnm.Print_Area" localSheetId="0">'Du kien VonNSDP 2019'!$A$1:$AZ$467</definedName>
    <definedName name="_xlnm.Print_Area" localSheetId="3">'NC07 TH TPCP'!$A$1:$U$19</definedName>
    <definedName name="_xlnm.Print_Area" localSheetId="4">'NC08 TPCP KH'!$A$1:$AK$39</definedName>
    <definedName name="_xlnm.Print_Area" localSheetId="5">'NC11 PPP'!$A$1:$Q$19</definedName>
    <definedName name="_xlnm.Print_Area" localSheetId="2">'ODAKH NSNN'!$A$1:$BQ$74</definedName>
    <definedName name="_xlnm.Print_Area" localSheetId="7">Quy2THDP!$A$1:$Q$72</definedName>
    <definedName name="_xlnm.Print_Area" localSheetId="8">Quy2TPCPDP!$A$1:$P$38</definedName>
    <definedName name="_xlnm.Print_Area" localSheetId="9">'Quy2von khac Dp'!$A$1:$O$38</definedName>
    <definedName name="_xlnm.Print_Titles" localSheetId="6">'BM18 BC nam DP'!$6:$8</definedName>
    <definedName name="_xlnm.Print_Titles" localSheetId="0">'Du kien VonNSDP 2019'!$6:$13</definedName>
    <definedName name="_xlnm.Print_Titles" localSheetId="3">'NC07 TH TPCP'!$6:$9</definedName>
    <definedName name="_xlnm.Print_Titles" localSheetId="4">'NC08 TPCP KH'!$6:$9</definedName>
    <definedName name="_xlnm.Print_Titles" localSheetId="2">'ODAKH NSNN'!$8:$15</definedName>
    <definedName name="_xlnm.Print_Titles" localSheetId="7">Quy2THDP!$9:$11</definedName>
    <definedName name="_xlnm.Print_Titles" localSheetId="8">Quy2TPCPDP!$8:$12</definedName>
    <definedName name="_xlnm.Print_Titles" localSheetId="9">'Quy2von khac Dp'!$7:$11</definedName>
    <definedName name="_xlnm.Print_Titles" localSheetId="1">'TC.ĐM 2016-2020(không in)'!$5:$8</definedName>
    <definedName name="_xlnm.Print_Titles">#N/A</definedName>
    <definedName name="Print_Titles_MI">#REF!</definedName>
    <definedName name="PRINTA">#REF!</definedName>
    <definedName name="PRINTB">#REF!</definedName>
    <definedName name="PRINTC">#REF!</definedName>
    <definedName name="ProdForm" localSheetId="1" hidden="1">#REF!</definedName>
    <definedName name="ProdForm" hidden="1">#REF!</definedName>
    <definedName name="Product" localSheetId="1"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qtdm">#REF!</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localSheetId="1" hidden="1">#REF!</definedName>
    <definedName name="RCArea" hidden="1">#REF!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#REF!</definedName>
    <definedName name="sand">#REF!</definedName>
    <definedName name="SCH">#REF!</definedName>
    <definedName name="sd1p">#REF!</definedName>
    <definedName name="sd3p">#REF!</definedName>
    <definedName name="SDMONG">#REF!</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panner_Auto_File">"C:\My Documents\tinh cdo.x2a"</definedName>
    <definedName name="SPEC">#REF!</definedName>
    <definedName name="SpecialPrice" localSheetId="1" hidden="1">#REF!</definedName>
    <definedName name="SpecialPrice" hidden="1">#REF!</definedName>
    <definedName name="SPECSUMMARY">#REF!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1" hidden="1">{"'Sheet1'!$L$16"}</definedName>
    <definedName name="t"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xTV">10%</definedName>
    <definedName name="TaxXL">5%</definedName>
    <definedName name="TBA">#REF!</definedName>
    <definedName name="tbl_ProdInfo" localSheetId="1" hidden="1">#REF!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ha" localSheetId="1" hidden="1">{"'Sheet1'!$L$16"}</definedName>
    <definedName name="tha" hidden="1">{"'Sheet1'!$L$16"}</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e">6</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onmai">#REF!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t">#REF!</definedName>
    <definedName name="TT_1P">#REF!</definedName>
    <definedName name="TT_3p">#REF!</definedName>
    <definedName name="TTDD1P">#REF!</definedName>
    <definedName name="TTDKKH">#REF!</definedName>
    <definedName name="tthi">#REF!</definedName>
    <definedName name="ttronmk">#REF!</definedName>
    <definedName name="ttttt" localSheetId="1" hidden="1">{"'Sheet1'!$L$16"}</definedName>
    <definedName name="ttttt" hidden="1">{"'Sheet1'!$L$16"}</definedName>
    <definedName name="TTTTTTTTT" localSheetId="1" hidden="1">{"'Sheet1'!$L$16"}</definedName>
    <definedName name="TTTTTTTTT" hidden="1">{"'Sheet1'!$L$16"}</definedName>
    <definedName name="ttttttttttt" localSheetId="1" hidden="1">{"'Sheet1'!$L$16"}</definedName>
    <definedName name="ttttttttttt" hidden="1">{"'Sheet1'!$L$16"}</definedName>
    <definedName name="tuyennhanh" localSheetId="1" hidden="1">{"'Sheet1'!$L$16"}</definedName>
    <definedName name="tuyennhanh" hidden="1">{"'Sheet1'!$L$16"}</definedName>
    <definedName name="tv75nc">#REF!</definedName>
    <definedName name="tv75vl">#REF!</definedName>
    <definedName name="ty_le">#REF!</definedName>
    <definedName name="ty_le_BTN">#REF!</definedName>
    <definedName name="Ty_le1">#REF!</definedName>
    <definedName name="u" localSheetId="1" hidden="1">{"'Sheet1'!$L$16"}</definedName>
    <definedName name="u" hidden="1">{"'Sheet1'!$L$16"}</definedName>
    <definedName name="ư" localSheetId="1" hidden="1">{"'Sheet1'!$L$16"}</definedName>
    <definedName name="ư" hidden="1">{"'Sheet1'!$L$16"}</definedName>
    <definedName name="upnoc">#REF!</definedName>
    <definedName name="uu">#REF!</definedName>
    <definedName name="v" localSheetId="1"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oto" localSheetId="1" hidden="1">{"'Sheet1'!$L$16"}</definedName>
    <definedName name="vcoto" hidden="1">{"'Sheet1'!$L$16"}</definedName>
    <definedName name="vct">#REF!</definedName>
    <definedName name="VCTT">#REF!</definedName>
    <definedName name="VCVBT1">#REF!</definedName>
    <definedName name="VCVBT2">#REF!</definedName>
    <definedName name="vd3p">#REF!</definedName>
    <definedName name="vgk">#REF!</definedName>
    <definedName name="vgt">#REF!</definedName>
    <definedName name="Viet" localSheetId="1" hidden="1">{"'Sheet1'!$L$16"}</definedName>
    <definedName name="Viet" hidden="1">{"'Sheet1'!$L$16"}</definedName>
    <definedName name="vkcauthang">#REF!</definedName>
    <definedName name="vksan">#REF!</definedName>
    <definedName name="vl">#REF!</definedName>
    <definedName name="vl3p">#REF!</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n.aaa." localSheetId="1" hidden="1">{#N/A,#N/A,FALSE,"Sheet1";#N/A,#N/A,FALSE,"Sheet1";#N/A,#N/A,FALSE,"Sheet1"}</definedName>
    <definedName name="wrn.aaa." hidden="1">{#N/A,#N/A,FALSE,"Sheet1";#N/A,#N/A,FALSE,"Sheet1";#N/A,#N/A,FALSE,"Sheet1"}</definedName>
    <definedName name="wrn.Bang._.ke._.nhan._.hang." hidden="1">{#N/A,#N/A,FALSE,"Ke khai NH"}</definedName>
    <definedName name="wrn.Che._.do._.duoc._.huong." hidden="1">{#N/A,#N/A,FALSE,"BN (2)"}</definedName>
    <definedName name="wrn.chi._.tiÆt." localSheetId="1" hidden="1">{#N/A,#N/A,FALSE,"Chi tiÆt"}</definedName>
    <definedName name="wrn.chi._.tiÆt." hidden="1">{#N/A,#N/A,FALSE,"Chi tiÆt"}</definedName>
    <definedName name="wrn.cong." localSheetId="1" hidden="1">{#N/A,#N/A,FALSE,"Sheet1"}</definedName>
    <definedName name="wrn.cong." hidden="1">{#N/A,#N/A,FALSE,"Sheet1"}</definedName>
    <definedName name="wrn.Giáy._.bao._.no." hidden="1">{#N/A,#N/A,FALSE,"BN"}</definedName>
    <definedName name="wrn.vd." localSheetId="1" hidden="1">{#N/A,#N/A,TRUE,"BT M200 da 10x20"}</definedName>
    <definedName name="wrn.vd." hidden="1">{#N/A,#N/A,TRUE,"BT M200 da 10x20"}</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t1p">#REF!</definedName>
    <definedName name="XINvc">#REF!</definedName>
    <definedName name="XINvl">#REF!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1" hidden="1">{"'Sheet1'!$L$16"}</definedName>
    <definedName name="xls" hidden="1">{"'Sheet1'!$L$16"}</definedName>
    <definedName name="xlttbninh" localSheetId="1"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91029" iterateCount="1"/>
</workbook>
</file>

<file path=xl/calcChain.xml><?xml version="1.0" encoding="utf-8"?>
<calcChain xmlns="http://schemas.openxmlformats.org/spreadsheetml/2006/main">
  <c r="BA442" i="20" l="1"/>
  <c r="BA451" i="20"/>
  <c r="BA450" i="20"/>
  <c r="BA113" i="20"/>
  <c r="AV373" i="20" l="1"/>
  <c r="AV372" i="20"/>
  <c r="AV351" i="20"/>
  <c r="AV352" i="20"/>
  <c r="AV353" i="20"/>
  <c r="AV354" i="20"/>
  <c r="AV355" i="20"/>
  <c r="AV350" i="20"/>
  <c r="AV239" i="20"/>
  <c r="AV147" i="20"/>
  <c r="R153" i="20" l="1"/>
  <c r="J224" i="20"/>
  <c r="J213" i="20" l="1"/>
  <c r="K220" i="20" l="1"/>
  <c r="L220" i="20"/>
  <c r="M220" i="20"/>
  <c r="N220" i="20"/>
  <c r="O220" i="20"/>
  <c r="T220" i="20"/>
  <c r="U220" i="20"/>
  <c r="V220" i="20"/>
  <c r="W220" i="20"/>
  <c r="X220" i="20"/>
  <c r="Y220" i="20"/>
  <c r="Z220" i="20"/>
  <c r="AA220" i="20"/>
  <c r="AB220" i="20"/>
  <c r="AC220" i="20"/>
  <c r="AD220" i="20"/>
  <c r="AE220" i="20"/>
  <c r="AF220" i="20"/>
  <c r="AI220" i="20"/>
  <c r="AJ220" i="20"/>
  <c r="AP220" i="20"/>
  <c r="AQ220" i="20"/>
  <c r="AR220" i="20"/>
  <c r="AS220" i="20"/>
  <c r="AU220" i="20"/>
  <c r="AW220" i="20"/>
  <c r="AV228" i="20"/>
  <c r="AV229" i="20"/>
  <c r="AV230" i="20"/>
  <c r="AV227" i="20"/>
  <c r="AT252" i="20"/>
  <c r="K249" i="20"/>
  <c r="L249" i="20"/>
  <c r="M249" i="20"/>
  <c r="N249" i="20"/>
  <c r="O249" i="20"/>
  <c r="S249" i="20"/>
  <c r="T249" i="20"/>
  <c r="U249" i="20"/>
  <c r="V249" i="20"/>
  <c r="W249" i="20"/>
  <c r="X249" i="20"/>
  <c r="Y249" i="20"/>
  <c r="Z249" i="20"/>
  <c r="AA249" i="20"/>
  <c r="AB249" i="20"/>
  <c r="AC249" i="20"/>
  <c r="AD249" i="20"/>
  <c r="AE249" i="20"/>
  <c r="AF249" i="20"/>
  <c r="AI249" i="20"/>
  <c r="AJ249" i="20"/>
  <c r="AO249" i="20"/>
  <c r="AQ249" i="20"/>
  <c r="AR249" i="20"/>
  <c r="AS249" i="20"/>
  <c r="AU249" i="20"/>
  <c r="AW249" i="20"/>
  <c r="AV252" i="20"/>
  <c r="AV251" i="20"/>
  <c r="AV249" i="20" s="1"/>
  <c r="AW449" i="20" l="1"/>
  <c r="BA449" i="20" s="1"/>
  <c r="K384" i="20"/>
  <c r="L384" i="20"/>
  <c r="M384" i="20"/>
  <c r="N384" i="20"/>
  <c r="O384" i="20"/>
  <c r="P384" i="20"/>
  <c r="Q384" i="20"/>
  <c r="T384" i="20"/>
  <c r="U384" i="20"/>
  <c r="V384" i="20"/>
  <c r="AI384" i="20"/>
  <c r="AJ384" i="20"/>
  <c r="AU384" i="20"/>
  <c r="AW384" i="20"/>
  <c r="AX384" i="20"/>
  <c r="AY384" i="20"/>
  <c r="J395" i="20"/>
  <c r="AV394" i="20"/>
  <c r="R394" i="20"/>
  <c r="J394" i="20"/>
  <c r="AV395" i="20"/>
  <c r="R395" i="20"/>
  <c r="R374" i="20"/>
  <c r="AW77" i="20" l="1"/>
  <c r="AW93" i="20"/>
  <c r="K261" i="20" l="1"/>
  <c r="L261" i="20"/>
  <c r="M261" i="20"/>
  <c r="N261" i="20"/>
  <c r="O261" i="20"/>
  <c r="P261" i="20"/>
  <c r="Q261" i="20"/>
  <c r="S261" i="20"/>
  <c r="T261" i="20"/>
  <c r="U261" i="20"/>
  <c r="V261" i="20"/>
  <c r="W261" i="20"/>
  <c r="X261" i="20"/>
  <c r="Y261" i="20"/>
  <c r="Z261" i="20"/>
  <c r="AA261" i="20"/>
  <c r="AB261" i="20"/>
  <c r="AC261" i="20"/>
  <c r="AD261" i="20"/>
  <c r="AE261" i="20"/>
  <c r="AF261" i="20"/>
  <c r="AG261" i="20"/>
  <c r="AH261" i="20"/>
  <c r="AI261" i="20"/>
  <c r="AJ261" i="20"/>
  <c r="AK261" i="20"/>
  <c r="AM261" i="20"/>
  <c r="AN261" i="20"/>
  <c r="AP261" i="20"/>
  <c r="AQ261" i="20"/>
  <c r="AR261" i="20"/>
  <c r="AW261" i="20"/>
  <c r="AV263" i="20"/>
  <c r="AS263" i="20"/>
  <c r="J263" i="20"/>
  <c r="J261" i="20" s="1"/>
  <c r="AV80" i="20" l="1"/>
  <c r="S80" i="20"/>
  <c r="R80" i="20" s="1"/>
  <c r="J80" i="20"/>
  <c r="K112" i="20" l="1"/>
  <c r="L112" i="20"/>
  <c r="M112" i="20"/>
  <c r="N112" i="20"/>
  <c r="O112" i="20"/>
  <c r="P112" i="20"/>
  <c r="Q112" i="20"/>
  <c r="S112" i="20"/>
  <c r="T112" i="20"/>
  <c r="U112" i="20"/>
  <c r="V112" i="20"/>
  <c r="W112" i="20"/>
  <c r="X112" i="20"/>
  <c r="Y112" i="20"/>
  <c r="Z112" i="20"/>
  <c r="AA112" i="20"/>
  <c r="AB112" i="20"/>
  <c r="AC112" i="20"/>
  <c r="AD112" i="20"/>
  <c r="AE112" i="20"/>
  <c r="AF112" i="20"/>
  <c r="AG112" i="20"/>
  <c r="AH112" i="20"/>
  <c r="AI112" i="20"/>
  <c r="AJ112" i="20"/>
  <c r="AK112" i="20"/>
  <c r="AL112" i="20"/>
  <c r="AM112" i="20"/>
  <c r="AN112" i="20"/>
  <c r="AO112" i="20"/>
  <c r="AP112" i="20"/>
  <c r="AQ112" i="20"/>
  <c r="AR112" i="20"/>
  <c r="AS112" i="20"/>
  <c r="AT112" i="20"/>
  <c r="AU112" i="20"/>
  <c r="AW112" i="20"/>
  <c r="J113" i="20"/>
  <c r="AV114" i="20"/>
  <c r="R114" i="20"/>
  <c r="J114" i="20"/>
  <c r="AI297" i="20"/>
  <c r="AJ297" i="20"/>
  <c r="O316" i="20"/>
  <c r="U316" i="20"/>
  <c r="AX316" i="20"/>
  <c r="AY316" i="20"/>
  <c r="K316" i="20"/>
  <c r="L316" i="20"/>
  <c r="M316" i="20"/>
  <c r="N316" i="20"/>
  <c r="S316" i="20"/>
  <c r="T316" i="20"/>
  <c r="V316" i="20"/>
  <c r="W316" i="20"/>
  <c r="X316" i="20"/>
  <c r="Y316" i="20"/>
  <c r="Z316" i="20"/>
  <c r="AA316" i="20"/>
  <c r="AB316" i="20"/>
  <c r="AC316" i="20"/>
  <c r="AD316" i="20"/>
  <c r="AE316" i="20"/>
  <c r="AF316" i="20"/>
  <c r="AI316" i="20"/>
  <c r="AJ316" i="20"/>
  <c r="AP316" i="20"/>
  <c r="AQ316" i="20"/>
  <c r="AR316" i="20"/>
  <c r="AV324" i="20"/>
  <c r="AV323" i="20"/>
  <c r="J320" i="20"/>
  <c r="J112" i="20" l="1"/>
  <c r="AV113" i="20"/>
  <c r="AV112" i="20" s="1"/>
  <c r="R113" i="20"/>
  <c r="R112" i="20" s="1"/>
  <c r="K77" i="20"/>
  <c r="L77" i="20"/>
  <c r="M77" i="20"/>
  <c r="N77" i="20"/>
  <c r="O77" i="20"/>
  <c r="S77" i="20"/>
  <c r="T77" i="20"/>
  <c r="U77" i="20"/>
  <c r="V77" i="20"/>
  <c r="W77" i="20"/>
  <c r="X77" i="20"/>
  <c r="Y77" i="20"/>
  <c r="Z77" i="20"/>
  <c r="AA77" i="20"/>
  <c r="AB77" i="20"/>
  <c r="AC77" i="20"/>
  <c r="AD77" i="20"/>
  <c r="AE77" i="20"/>
  <c r="AF77" i="20"/>
  <c r="AI77" i="20"/>
  <c r="AJ77" i="20"/>
  <c r="AP77" i="20"/>
  <c r="AQ77" i="20"/>
  <c r="AR77" i="20"/>
  <c r="AX77" i="20"/>
  <c r="AY77" i="20"/>
  <c r="R81" i="20"/>
  <c r="J81" i="20"/>
  <c r="S392" i="20" l="1"/>
  <c r="S384" i="20" s="1"/>
  <c r="R389" i="20"/>
  <c r="AS387" i="20" l="1"/>
  <c r="AS384" i="20" s="1"/>
  <c r="AT223" i="20"/>
  <c r="AT222" i="20"/>
  <c r="AT221" i="20"/>
  <c r="AT132" i="20"/>
  <c r="AT133" i="20"/>
  <c r="AT134" i="20"/>
  <c r="AT131" i="20"/>
  <c r="AT110" i="20"/>
  <c r="AT79" i="20"/>
  <c r="AS431" i="20"/>
  <c r="AS429" i="20"/>
  <c r="AS416" i="20"/>
  <c r="AV56" i="20"/>
  <c r="AV57" i="20"/>
  <c r="AT220" i="20" l="1"/>
  <c r="BA393" i="20"/>
  <c r="AT390" i="20"/>
  <c r="AT388" i="20"/>
  <c r="AT385" i="20"/>
  <c r="AT386" i="20"/>
  <c r="AI85" i="20"/>
  <c r="AI84" i="20" s="1"/>
  <c r="AJ85" i="20"/>
  <c r="AJ84" i="20" s="1"/>
  <c r="AT384" i="20" l="1"/>
  <c r="AT200" i="20"/>
  <c r="BA200" i="20"/>
  <c r="AW185" i="20"/>
  <c r="BA251" i="20" l="1"/>
  <c r="AT251" i="20"/>
  <c r="AT249" i="20" s="1"/>
  <c r="AP251" i="20"/>
  <c r="AN251" i="20"/>
  <c r="AM251" i="20"/>
  <c r="AK251" i="20"/>
  <c r="AH251" i="20"/>
  <c r="AG251" i="20"/>
  <c r="Q251" i="20"/>
  <c r="P251" i="20"/>
  <c r="AL251" i="20" l="1"/>
  <c r="K109" i="20"/>
  <c r="L109" i="20"/>
  <c r="M109" i="20"/>
  <c r="N109" i="20"/>
  <c r="O109" i="20"/>
  <c r="S109" i="20"/>
  <c r="T109" i="20"/>
  <c r="U109" i="20"/>
  <c r="V109" i="20"/>
  <c r="W109" i="20"/>
  <c r="X109" i="20"/>
  <c r="Y109" i="20"/>
  <c r="Z109" i="20"/>
  <c r="AA109" i="20"/>
  <c r="AB109" i="20"/>
  <c r="AC109" i="20"/>
  <c r="AD109" i="20"/>
  <c r="AE109" i="20"/>
  <c r="AF109" i="20"/>
  <c r="AI109" i="20"/>
  <c r="AJ109" i="20"/>
  <c r="AP109" i="20"/>
  <c r="AQ109" i="20"/>
  <c r="AR109" i="20"/>
  <c r="AS109" i="20"/>
  <c r="AT109" i="20"/>
  <c r="AU109" i="20"/>
  <c r="AW109" i="20"/>
  <c r="J109" i="20"/>
  <c r="AW187" i="20" l="1"/>
  <c r="K269" i="20" l="1"/>
  <c r="K268" i="20" s="1"/>
  <c r="K260" i="20"/>
  <c r="K265" i="20"/>
  <c r="K264" i="20" s="1"/>
  <c r="K275" i="20"/>
  <c r="K274" i="20" s="1"/>
  <c r="L269" i="20"/>
  <c r="L268" i="20" s="1"/>
  <c r="L260" i="20"/>
  <c r="L265" i="20"/>
  <c r="L264" i="20" s="1"/>
  <c r="L275" i="20"/>
  <c r="L274" i="20" s="1"/>
  <c r="M269" i="20"/>
  <c r="M268" i="20" s="1"/>
  <c r="M260" i="20"/>
  <c r="M265" i="20"/>
  <c r="M264" i="20" s="1"/>
  <c r="M275" i="20"/>
  <c r="M274" i="20" s="1"/>
  <c r="N269" i="20"/>
  <c r="N268" i="20" s="1"/>
  <c r="N260" i="20"/>
  <c r="N265" i="20"/>
  <c r="N264" i="20" s="1"/>
  <c r="N275" i="20"/>
  <c r="N274" i="20" s="1"/>
  <c r="O269" i="20"/>
  <c r="O268" i="20" s="1"/>
  <c r="O260" i="20"/>
  <c r="O265" i="20"/>
  <c r="O264" i="20" s="1"/>
  <c r="O275" i="20"/>
  <c r="O274" i="20" s="1"/>
  <c r="P270" i="20"/>
  <c r="P272" i="20"/>
  <c r="P273" i="20"/>
  <c r="P260" i="20"/>
  <c r="P266" i="20"/>
  <c r="P267" i="20"/>
  <c r="P276" i="20"/>
  <c r="P277" i="20"/>
  <c r="Q270" i="20"/>
  <c r="Q272" i="20"/>
  <c r="Q273" i="20"/>
  <c r="Q260" i="20"/>
  <c r="Q266" i="20"/>
  <c r="Q267" i="20"/>
  <c r="Q276" i="20"/>
  <c r="Q277" i="20"/>
  <c r="R269" i="20"/>
  <c r="R268" i="20" s="1"/>
  <c r="R262" i="20"/>
  <c r="R266" i="20"/>
  <c r="R267" i="20"/>
  <c r="R279" i="20"/>
  <c r="R275" i="20" s="1"/>
  <c r="R274" i="20" s="1"/>
  <c r="S269" i="20"/>
  <c r="S268" i="20" s="1"/>
  <c r="S260" i="20"/>
  <c r="S265" i="20"/>
  <c r="S264" i="20" s="1"/>
  <c r="S275" i="20"/>
  <c r="S274" i="20" s="1"/>
  <c r="T269" i="20"/>
  <c r="T268" i="20" s="1"/>
  <c r="T260" i="20"/>
  <c r="T265" i="20"/>
  <c r="T264" i="20" s="1"/>
  <c r="T275" i="20"/>
  <c r="T274" i="20" s="1"/>
  <c r="U269" i="20"/>
  <c r="U268" i="20" s="1"/>
  <c r="U260" i="20"/>
  <c r="U265" i="20"/>
  <c r="U264" i="20" s="1"/>
  <c r="U275" i="20"/>
  <c r="U274" i="20" s="1"/>
  <c r="V269" i="20"/>
  <c r="V268" i="20" s="1"/>
  <c r="V260" i="20"/>
  <c r="V266" i="20"/>
  <c r="V265" i="20" s="1"/>
  <c r="V264" i="20" s="1"/>
  <c r="W269" i="20"/>
  <c r="W268" i="20" s="1"/>
  <c r="W260" i="20"/>
  <c r="W265" i="20"/>
  <c r="W264" i="20" s="1"/>
  <c r="W275" i="20"/>
  <c r="W274" i="20" s="1"/>
  <c r="X269" i="20"/>
  <c r="X268" i="20" s="1"/>
  <c r="X260" i="20"/>
  <c r="X265" i="20"/>
  <c r="X264" i="20" s="1"/>
  <c r="X275" i="20"/>
  <c r="X274" i="20" s="1"/>
  <c r="Y269" i="20"/>
  <c r="Y268" i="20" s="1"/>
  <c r="Y260" i="20"/>
  <c r="Y265" i="20"/>
  <c r="Y264" i="20" s="1"/>
  <c r="Y275" i="20"/>
  <c r="Y274" i="20" s="1"/>
  <c r="Z269" i="20"/>
  <c r="Z268" i="20" s="1"/>
  <c r="Z260" i="20"/>
  <c r="Z265" i="20"/>
  <c r="Z264" i="20" s="1"/>
  <c r="Z275" i="20"/>
  <c r="Z274" i="20" s="1"/>
  <c r="AA269" i="20"/>
  <c r="AA268" i="20" s="1"/>
  <c r="AA260" i="20"/>
  <c r="AB266" i="20"/>
  <c r="AA266" i="20" s="1"/>
  <c r="AA275" i="20"/>
  <c r="AA274" i="20" s="1"/>
  <c r="AB269" i="20"/>
  <c r="AB268" i="20" s="1"/>
  <c r="AB260" i="20"/>
  <c r="AB275" i="20"/>
  <c r="AB274" i="20" s="1"/>
  <c r="AC269" i="20"/>
  <c r="AC268" i="20" s="1"/>
  <c r="AC260" i="20"/>
  <c r="AC265" i="20"/>
  <c r="AC264" i="20" s="1"/>
  <c r="AC275" i="20"/>
  <c r="AC274" i="20" s="1"/>
  <c r="AD269" i="20"/>
  <c r="AD268" i="20" s="1"/>
  <c r="AD260" i="20"/>
  <c r="AD265" i="20"/>
  <c r="AD264" i="20" s="1"/>
  <c r="AD275" i="20"/>
  <c r="AD274" i="20" s="1"/>
  <c r="AE269" i="20"/>
  <c r="AE268" i="20" s="1"/>
  <c r="AE260" i="20"/>
  <c r="AE265" i="20"/>
  <c r="AE264" i="20" s="1"/>
  <c r="AE275" i="20"/>
  <c r="AE274" i="20" s="1"/>
  <c r="AF269" i="20"/>
  <c r="AF268" i="20" s="1"/>
  <c r="AF260" i="20"/>
  <c r="AF265" i="20"/>
  <c r="AF264" i="20" s="1"/>
  <c r="AF275" i="20"/>
  <c r="AF274" i="20" s="1"/>
  <c r="AG270" i="20"/>
  <c r="AG272" i="20"/>
  <c r="AG273" i="20"/>
  <c r="AG260" i="20"/>
  <c r="AG267" i="20"/>
  <c r="AG276" i="20"/>
  <c r="AG277" i="20"/>
  <c r="AH270" i="20"/>
  <c r="AL270" i="20" s="1"/>
  <c r="AK270" i="20" s="1"/>
  <c r="AH272" i="20"/>
  <c r="AH273" i="20"/>
  <c r="AH260" i="20"/>
  <c r="AH267" i="20"/>
  <c r="AH276" i="20"/>
  <c r="AH277" i="20"/>
  <c r="AI259" i="20"/>
  <c r="AJ259" i="20"/>
  <c r="AK272" i="20"/>
  <c r="AK273" i="20"/>
  <c r="AK260" i="20"/>
  <c r="AO266" i="20"/>
  <c r="AK266" i="20" s="1"/>
  <c r="AO267" i="20"/>
  <c r="AK267" i="20" s="1"/>
  <c r="AO276" i="20"/>
  <c r="AK276" i="20" s="1"/>
  <c r="AO277" i="20"/>
  <c r="AK277" i="20" s="1"/>
  <c r="AP272" i="20"/>
  <c r="AL272" i="20" s="1"/>
  <c r="AP273" i="20"/>
  <c r="AL273" i="20" s="1"/>
  <c r="AL262" i="20"/>
  <c r="AL266" i="20"/>
  <c r="AL267" i="20"/>
  <c r="AL276" i="20"/>
  <c r="AL277" i="20"/>
  <c r="AM270" i="20"/>
  <c r="AM272" i="20"/>
  <c r="AM273" i="20"/>
  <c r="AM260" i="20"/>
  <c r="AM266" i="20"/>
  <c r="AM267" i="20"/>
  <c r="AM276" i="20"/>
  <c r="AM277" i="20"/>
  <c r="AN270" i="20"/>
  <c r="AN272" i="20"/>
  <c r="AN273" i="20"/>
  <c r="AN260" i="20"/>
  <c r="AN266" i="20"/>
  <c r="AN267" i="20"/>
  <c r="AN276" i="20"/>
  <c r="AN277" i="20"/>
  <c r="AO270" i="20"/>
  <c r="AO269" i="20" s="1"/>
  <c r="AO268" i="20" s="1"/>
  <c r="AO262" i="20"/>
  <c r="AO261" i="20" s="1"/>
  <c r="AP260" i="20"/>
  <c r="AP265" i="20"/>
  <c r="AP264" i="20" s="1"/>
  <c r="AP275" i="20"/>
  <c r="AP274" i="20" s="1"/>
  <c r="AQ269" i="20"/>
  <c r="AQ268" i="20" s="1"/>
  <c r="AQ260" i="20"/>
  <c r="AQ265" i="20"/>
  <c r="AQ264" i="20" s="1"/>
  <c r="AQ275" i="20"/>
  <c r="AQ274" i="20" s="1"/>
  <c r="AR269" i="20"/>
  <c r="AR268" i="20" s="1"/>
  <c r="AR260" i="20"/>
  <c r="AR265" i="20"/>
  <c r="AR264" i="20" s="1"/>
  <c r="AR275" i="20"/>
  <c r="AR274" i="20" s="1"/>
  <c r="AS270" i="20"/>
  <c r="AS262" i="20"/>
  <c r="AS267" i="20"/>
  <c r="AS275" i="20"/>
  <c r="AS274" i="20" s="1"/>
  <c r="AU262" i="20"/>
  <c r="AT275" i="20"/>
  <c r="AT274" i="20" s="1"/>
  <c r="AU275" i="20"/>
  <c r="AU274" i="20" s="1"/>
  <c r="AV270" i="20"/>
  <c r="AV262" i="20"/>
  <c r="AV276" i="20"/>
  <c r="AV277" i="20"/>
  <c r="AV279" i="20"/>
  <c r="AW260" i="20"/>
  <c r="AW275" i="20"/>
  <c r="AW274" i="20" s="1"/>
  <c r="J272" i="20"/>
  <c r="J273" i="20"/>
  <c r="J260" i="20"/>
  <c r="J265" i="20"/>
  <c r="J264" i="20" s="1"/>
  <c r="J275" i="20"/>
  <c r="J274" i="20" s="1"/>
  <c r="AW226" i="20"/>
  <c r="AH65" i="20"/>
  <c r="AU65" i="20" s="1"/>
  <c r="AW65" i="20" s="1"/>
  <c r="AH66" i="20"/>
  <c r="AU66" i="20" s="1"/>
  <c r="AW66" i="20" s="1"/>
  <c r="BA66" i="20" s="1"/>
  <c r="AH67" i="20"/>
  <c r="AU67" i="20" s="1"/>
  <c r="AW67" i="20" s="1"/>
  <c r="BA67" i="20" s="1"/>
  <c r="AH68" i="20"/>
  <c r="AU68" i="20" s="1"/>
  <c r="AH89" i="20"/>
  <c r="AU89" i="20" s="1"/>
  <c r="AH98" i="20"/>
  <c r="AU98" i="20" s="1"/>
  <c r="AH99" i="20"/>
  <c r="AU99" i="20" s="1"/>
  <c r="AH102" i="20"/>
  <c r="AU102" i="20" s="1"/>
  <c r="AH103" i="20"/>
  <c r="AU103" i="20" s="1"/>
  <c r="AH120" i="20"/>
  <c r="AU120" i="20" s="1"/>
  <c r="AT120" i="20" s="1"/>
  <c r="AT119" i="20" s="1"/>
  <c r="AT118" i="20" s="1"/>
  <c r="S128" i="20"/>
  <c r="AH128" i="20"/>
  <c r="AU128" i="20" s="1"/>
  <c r="AT128" i="20" s="1"/>
  <c r="AB140" i="20"/>
  <c r="AH140" i="20" s="1"/>
  <c r="AU140" i="20" s="1"/>
  <c r="AW140" i="20" s="1"/>
  <c r="AH144" i="20"/>
  <c r="AU144" i="20" s="1"/>
  <c r="AU164" i="20"/>
  <c r="AW164" i="20" s="1"/>
  <c r="AW163" i="20" s="1"/>
  <c r="AW162" i="20" s="1"/>
  <c r="AB172" i="20"/>
  <c r="AH172" i="20" s="1"/>
  <c r="AU172" i="20" s="1"/>
  <c r="AW172" i="20" s="1"/>
  <c r="AH184" i="20"/>
  <c r="AU184" i="20" s="1"/>
  <c r="AH244" i="20"/>
  <c r="AU244" i="20" s="1"/>
  <c r="AW244" i="20" s="1"/>
  <c r="AW291" i="20"/>
  <c r="AH314" i="20"/>
  <c r="AU314" i="20" s="1"/>
  <c r="AW314" i="20" s="1"/>
  <c r="AW318" i="20"/>
  <c r="AW316" i="20" s="1"/>
  <c r="AW329" i="20"/>
  <c r="AW328" i="20" s="1"/>
  <c r="AW327" i="20" s="1"/>
  <c r="AW347" i="20"/>
  <c r="AW340" i="20" s="1"/>
  <c r="AW348" i="20"/>
  <c r="S361" i="20"/>
  <c r="R361" i="20" s="1"/>
  <c r="R360" i="20" s="1"/>
  <c r="AH361" i="20"/>
  <c r="AU361" i="20" s="1"/>
  <c r="AU360" i="20" s="1"/>
  <c r="AH363" i="20"/>
  <c r="AU363" i="20" s="1"/>
  <c r="AW363" i="20" s="1"/>
  <c r="AH365" i="20"/>
  <c r="AU365" i="20" s="1"/>
  <c r="AW365" i="20" s="1"/>
  <c r="AH367" i="20"/>
  <c r="AU367" i="20" s="1"/>
  <c r="AW367" i="20" s="1"/>
  <c r="AV367" i="20" s="1"/>
  <c r="AH368" i="20"/>
  <c r="AU368" i="20" s="1"/>
  <c r="AW368" i="20" s="1"/>
  <c r="AU369" i="20"/>
  <c r="AW369" i="20" s="1"/>
  <c r="AH404" i="20"/>
  <c r="AU404" i="20" s="1"/>
  <c r="AW404" i="20" s="1"/>
  <c r="AV404" i="20" s="1"/>
  <c r="AV403" i="20" s="1"/>
  <c r="AH407" i="20"/>
  <c r="AU407" i="20" s="1"/>
  <c r="AW407" i="20" s="1"/>
  <c r="AW406" i="20" s="1"/>
  <c r="AH411" i="20"/>
  <c r="AU411" i="20" s="1"/>
  <c r="AW411" i="20" s="1"/>
  <c r="AV411" i="20" s="1"/>
  <c r="AV410" i="20" s="1"/>
  <c r="AW414" i="20"/>
  <c r="AW412" i="20" s="1"/>
  <c r="AZ415" i="20"/>
  <c r="AW438" i="20"/>
  <c r="AW443" i="20"/>
  <c r="AW439" i="20" s="1"/>
  <c r="AW447" i="20"/>
  <c r="AW452" i="20"/>
  <c r="AW375" i="20"/>
  <c r="AW371" i="20"/>
  <c r="AW335" i="20"/>
  <c r="AW192" i="20"/>
  <c r="AW191" i="20" s="1"/>
  <c r="K142" i="20"/>
  <c r="K141" i="20" s="1"/>
  <c r="L142" i="20"/>
  <c r="L141" i="20" s="1"/>
  <c r="M142" i="20"/>
  <c r="M141" i="20" s="1"/>
  <c r="N142" i="20"/>
  <c r="N141" i="20" s="1"/>
  <c r="O142" i="20"/>
  <c r="O141" i="20" s="1"/>
  <c r="P143" i="20"/>
  <c r="P144" i="20"/>
  <c r="Q143" i="20"/>
  <c r="Q144" i="20"/>
  <c r="R143" i="20"/>
  <c r="R144" i="20"/>
  <c r="S142" i="20"/>
  <c r="S141" i="20" s="1"/>
  <c r="T142" i="20"/>
  <c r="T141" i="20" s="1"/>
  <c r="U142" i="20"/>
  <c r="U141" i="20" s="1"/>
  <c r="V143" i="20"/>
  <c r="V144" i="20"/>
  <c r="W142" i="20"/>
  <c r="W141" i="20" s="1"/>
  <c r="X142" i="20"/>
  <c r="X141" i="20" s="1"/>
  <c r="Y142" i="20"/>
  <c r="Y141" i="20" s="1"/>
  <c r="Z142" i="20"/>
  <c r="Z141" i="20" s="1"/>
  <c r="AA142" i="20"/>
  <c r="AA141" i="20" s="1"/>
  <c r="AB142" i="20"/>
  <c r="AB141" i="20" s="1"/>
  <c r="AC142" i="20"/>
  <c r="AC141" i="20" s="1"/>
  <c r="AD142" i="20"/>
  <c r="AD141" i="20" s="1"/>
  <c r="AE142" i="20"/>
  <c r="AE141" i="20" s="1"/>
  <c r="AF142" i="20"/>
  <c r="AF141" i="20" s="1"/>
  <c r="AG143" i="20"/>
  <c r="AG144" i="20"/>
  <c r="AH143" i="20"/>
  <c r="AU143" i="20" s="1"/>
  <c r="AT143" i="20" s="1"/>
  <c r="AI142" i="20"/>
  <c r="AI141" i="20" s="1"/>
  <c r="AJ142" i="20"/>
  <c r="AJ141" i="20" s="1"/>
  <c r="AO143" i="20"/>
  <c r="AK143" i="20" s="1"/>
  <c r="AO144" i="20"/>
  <c r="AK144" i="20" s="1"/>
  <c r="AL143" i="20"/>
  <c r="AL144" i="20"/>
  <c r="AM143" i="20"/>
  <c r="AM144" i="20"/>
  <c r="AN143" i="20"/>
  <c r="AN144" i="20"/>
  <c r="AP142" i="20"/>
  <c r="AP141" i="20" s="1"/>
  <c r="AQ142" i="20"/>
  <c r="AQ141" i="20" s="1"/>
  <c r="AR142" i="20"/>
  <c r="AR141" i="20" s="1"/>
  <c r="AS144" i="20"/>
  <c r="AV143" i="20"/>
  <c r="AX142" i="20"/>
  <c r="AX141" i="20" s="1"/>
  <c r="AY142" i="20"/>
  <c r="AY141" i="20" s="1"/>
  <c r="AW146" i="20"/>
  <c r="AW145" i="20" s="1"/>
  <c r="AW152" i="20"/>
  <c r="AW151" i="20" s="1"/>
  <c r="AW72" i="20"/>
  <c r="AW71" i="20" s="1"/>
  <c r="AW62" i="20"/>
  <c r="K205" i="20"/>
  <c r="K204" i="20" s="1"/>
  <c r="K210" i="20"/>
  <c r="K209" i="20" s="1"/>
  <c r="K217" i="20"/>
  <c r="K216" i="20" s="1"/>
  <c r="K219" i="20"/>
  <c r="K226" i="20"/>
  <c r="L205" i="20"/>
  <c r="L204" i="20" s="1"/>
  <c r="L210" i="20"/>
  <c r="L209" i="20" s="1"/>
  <c r="L217" i="20"/>
  <c r="L216" i="20" s="1"/>
  <c r="L219" i="20"/>
  <c r="L226" i="20"/>
  <c r="M205" i="20"/>
  <c r="M204" i="20" s="1"/>
  <c r="M210" i="20"/>
  <c r="M209" i="20" s="1"/>
  <c r="M217" i="20"/>
  <c r="M216" i="20" s="1"/>
  <c r="M219" i="20"/>
  <c r="M226" i="20"/>
  <c r="N205" i="20"/>
  <c r="N204" i="20" s="1"/>
  <c r="N210" i="20"/>
  <c r="N209" i="20" s="1"/>
  <c r="N217" i="20"/>
  <c r="N216" i="20" s="1"/>
  <c r="N219" i="20"/>
  <c r="N226" i="20"/>
  <c r="O205" i="20"/>
  <c r="O204" i="20" s="1"/>
  <c r="O210" i="20"/>
  <c r="O209" i="20" s="1"/>
  <c r="O217" i="20"/>
  <c r="O216" i="20" s="1"/>
  <c r="O219" i="20"/>
  <c r="O226" i="20"/>
  <c r="P205" i="20"/>
  <c r="P204" i="20" s="1"/>
  <c r="P211" i="20"/>
  <c r="P212" i="20"/>
  <c r="P213" i="20"/>
  <c r="P214" i="20"/>
  <c r="P215" i="20"/>
  <c r="P218" i="20"/>
  <c r="P217" i="20" s="1"/>
  <c r="P216" i="20" s="1"/>
  <c r="P223" i="20"/>
  <c r="P224" i="20"/>
  <c r="P229" i="20"/>
  <c r="P230" i="20"/>
  <c r="Q205" i="20"/>
  <c r="Q204" i="20" s="1"/>
  <c r="Q211" i="20"/>
  <c r="Q212" i="20"/>
  <c r="Q213" i="20"/>
  <c r="Q214" i="20"/>
  <c r="Q215" i="20"/>
  <c r="Q218" i="20"/>
  <c r="Q217" i="20" s="1"/>
  <c r="Q216" i="20" s="1"/>
  <c r="Q223" i="20"/>
  <c r="Q224" i="20"/>
  <c r="Q229" i="20"/>
  <c r="Q230" i="20"/>
  <c r="R207" i="20"/>
  <c r="R205" i="20" s="1"/>
  <c r="R204" i="20" s="1"/>
  <c r="R213" i="20"/>
  <c r="R214" i="20"/>
  <c r="R215" i="20"/>
  <c r="R218" i="20"/>
  <c r="R217" i="20" s="1"/>
  <c r="R216" i="20" s="1"/>
  <c r="R222" i="20"/>
  <c r="R227" i="20"/>
  <c r="R228" i="20"/>
  <c r="S205" i="20"/>
  <c r="S204" i="20" s="1"/>
  <c r="S210" i="20"/>
  <c r="S209" i="20" s="1"/>
  <c r="S217" i="20"/>
  <c r="S216" i="20" s="1"/>
  <c r="S223" i="20"/>
  <c r="S226" i="20"/>
  <c r="T205" i="20"/>
  <c r="T204" i="20" s="1"/>
  <c r="T210" i="20"/>
  <c r="T209" i="20" s="1"/>
  <c r="T217" i="20"/>
  <c r="T216" i="20" s="1"/>
  <c r="T219" i="20"/>
  <c r="T226" i="20"/>
  <c r="U205" i="20"/>
  <c r="U204" i="20" s="1"/>
  <c r="U210" i="20"/>
  <c r="U209" i="20" s="1"/>
  <c r="U217" i="20"/>
  <c r="U216" i="20" s="1"/>
  <c r="U219" i="20"/>
  <c r="U226" i="20"/>
  <c r="V207" i="20"/>
  <c r="V205" i="20" s="1"/>
  <c r="V204" i="20" s="1"/>
  <c r="V210" i="20"/>
  <c r="V209" i="20" s="1"/>
  <c r="V217" i="20"/>
  <c r="V216" i="20" s="1"/>
  <c r="V226" i="20"/>
  <c r="W205" i="20"/>
  <c r="W204" i="20" s="1"/>
  <c r="W210" i="20"/>
  <c r="W209" i="20" s="1"/>
  <c r="W217" i="20"/>
  <c r="W216" i="20" s="1"/>
  <c r="W219" i="20"/>
  <c r="W226" i="20"/>
  <c r="X205" i="20"/>
  <c r="X204" i="20" s="1"/>
  <c r="X210" i="20"/>
  <c r="X209" i="20" s="1"/>
  <c r="X217" i="20"/>
  <c r="X216" i="20" s="1"/>
  <c r="X219" i="20"/>
  <c r="X226" i="20"/>
  <c r="Y205" i="20"/>
  <c r="Y204" i="20" s="1"/>
  <c r="Y210" i="20"/>
  <c r="Y209" i="20" s="1"/>
  <c r="Y217" i="20"/>
  <c r="Y216" i="20" s="1"/>
  <c r="Y219" i="20"/>
  <c r="Y226" i="20"/>
  <c r="Z205" i="20"/>
  <c r="Z204" i="20" s="1"/>
  <c r="Z210" i="20"/>
  <c r="Z209" i="20" s="1"/>
  <c r="Z217" i="20"/>
  <c r="Z216" i="20" s="1"/>
  <c r="Z219" i="20"/>
  <c r="Z226" i="20"/>
  <c r="AA205" i="20"/>
  <c r="AA204" i="20" s="1"/>
  <c r="AA210" i="20"/>
  <c r="AA209" i="20" s="1"/>
  <c r="AA217" i="20"/>
  <c r="AA216" i="20" s="1"/>
  <c r="AA219" i="20"/>
  <c r="AA226" i="20"/>
  <c r="AB205" i="20"/>
  <c r="AB204" i="20" s="1"/>
  <c r="AB210" i="20"/>
  <c r="AB209" i="20" s="1"/>
  <c r="AB217" i="20"/>
  <c r="AB216" i="20" s="1"/>
  <c r="AB219" i="20"/>
  <c r="AB226" i="20"/>
  <c r="AC205" i="20"/>
  <c r="AC204" i="20" s="1"/>
  <c r="AC210" i="20"/>
  <c r="AC209" i="20" s="1"/>
  <c r="AC217" i="20"/>
  <c r="AC216" i="20" s="1"/>
  <c r="AC219" i="20"/>
  <c r="AC226" i="20"/>
  <c r="AD205" i="20"/>
  <c r="AD204" i="20" s="1"/>
  <c r="AD210" i="20"/>
  <c r="AD209" i="20" s="1"/>
  <c r="AD217" i="20"/>
  <c r="AD216" i="20" s="1"/>
  <c r="AD219" i="20"/>
  <c r="AD226" i="20"/>
  <c r="AE205" i="20"/>
  <c r="AE204" i="20" s="1"/>
  <c r="AE210" i="20"/>
  <c r="AE209" i="20" s="1"/>
  <c r="AE217" i="20"/>
  <c r="AE216" i="20" s="1"/>
  <c r="AE219" i="20"/>
  <c r="AE226" i="20"/>
  <c r="AF205" i="20"/>
  <c r="AF204" i="20" s="1"/>
  <c r="AF210" i="20"/>
  <c r="AF209" i="20" s="1"/>
  <c r="AF217" i="20"/>
  <c r="AF216" i="20" s="1"/>
  <c r="AF219" i="20"/>
  <c r="AF226" i="20"/>
  <c r="AG207" i="20"/>
  <c r="AG205" i="20" s="1"/>
  <c r="AG204" i="20" s="1"/>
  <c r="AG211" i="20"/>
  <c r="AG212" i="20"/>
  <c r="AG213" i="20"/>
  <c r="AG214" i="20"/>
  <c r="AG215" i="20"/>
  <c r="AG218" i="20"/>
  <c r="AG217" i="20" s="1"/>
  <c r="AG216" i="20" s="1"/>
  <c r="AG221" i="20"/>
  <c r="AG222" i="20"/>
  <c r="AG223" i="20"/>
  <c r="AG224" i="20"/>
  <c r="AG229" i="20"/>
  <c r="AG230" i="20"/>
  <c r="AH205" i="20"/>
  <c r="AH204" i="20" s="1"/>
  <c r="AH211" i="20"/>
  <c r="AH212" i="20"/>
  <c r="AU212" i="20" s="1"/>
  <c r="AT212" i="20" s="1"/>
  <c r="AH213" i="20"/>
  <c r="AU213" i="20" s="1"/>
  <c r="AH214" i="20"/>
  <c r="AU214" i="20" s="1"/>
  <c r="AT214" i="20" s="1"/>
  <c r="AH215" i="20"/>
  <c r="AU215" i="20" s="1"/>
  <c r="AT215" i="20" s="1"/>
  <c r="AH218" i="20"/>
  <c r="AH217" i="20" s="1"/>
  <c r="AH216" i="20" s="1"/>
  <c r="AH221" i="20"/>
  <c r="AH222" i="20"/>
  <c r="AH223" i="20"/>
  <c r="AH224" i="20"/>
  <c r="AH229" i="20"/>
  <c r="AH230" i="20"/>
  <c r="AI226" i="20"/>
  <c r="AI203" i="20" s="1"/>
  <c r="AJ226" i="20"/>
  <c r="AJ203" i="20" s="1"/>
  <c r="AK205" i="20"/>
  <c r="AK204" i="20" s="1"/>
  <c r="AO211" i="20"/>
  <c r="AK211" i="20" s="1"/>
  <c r="AO212" i="20"/>
  <c r="AK212" i="20" s="1"/>
  <c r="AO213" i="20"/>
  <c r="AK213" i="20" s="1"/>
  <c r="AO214" i="20"/>
  <c r="AK214" i="20" s="1"/>
  <c r="AO215" i="20"/>
  <c r="AK215" i="20" s="1"/>
  <c r="AO218" i="20"/>
  <c r="AK218" i="20" s="1"/>
  <c r="AK217" i="20" s="1"/>
  <c r="AK216" i="20" s="1"/>
  <c r="AO221" i="20"/>
  <c r="AO222" i="20"/>
  <c r="AK222" i="20" s="1"/>
  <c r="AO223" i="20"/>
  <c r="AK223" i="20" s="1"/>
  <c r="AK224" i="20"/>
  <c r="AK229" i="20"/>
  <c r="AK230" i="20"/>
  <c r="AL205" i="20"/>
  <c r="AL204" i="20" s="1"/>
  <c r="AL211" i="20"/>
  <c r="AL212" i="20"/>
  <c r="AL213" i="20"/>
  <c r="AL214" i="20"/>
  <c r="AL215" i="20"/>
  <c r="AL218" i="20"/>
  <c r="AL217" i="20" s="1"/>
  <c r="AL216" i="20" s="1"/>
  <c r="AL221" i="20"/>
  <c r="AL222" i="20"/>
  <c r="AL223" i="20"/>
  <c r="AL224" i="20"/>
  <c r="AL229" i="20"/>
  <c r="AL230" i="20"/>
  <c r="AM205" i="20"/>
  <c r="AM204" i="20" s="1"/>
  <c r="AM211" i="20"/>
  <c r="AM212" i="20"/>
  <c r="AM213" i="20"/>
  <c r="AM214" i="20"/>
  <c r="AM215" i="20"/>
  <c r="AM218" i="20"/>
  <c r="AM217" i="20" s="1"/>
  <c r="AM216" i="20" s="1"/>
  <c r="AM221" i="20"/>
  <c r="AM222" i="20"/>
  <c r="AM223" i="20"/>
  <c r="AM224" i="20"/>
  <c r="AM229" i="20"/>
  <c r="AM230" i="20"/>
  <c r="AN205" i="20"/>
  <c r="AN204" i="20" s="1"/>
  <c r="AN211" i="20"/>
  <c r="AN212" i="20"/>
  <c r="AN213" i="20"/>
  <c r="AN214" i="20"/>
  <c r="AN215" i="20"/>
  <c r="AN218" i="20"/>
  <c r="AN217" i="20" s="1"/>
  <c r="AN216" i="20" s="1"/>
  <c r="AN221" i="20"/>
  <c r="AN222" i="20"/>
  <c r="AN223" i="20"/>
  <c r="AN224" i="20"/>
  <c r="AN229" i="20"/>
  <c r="AN230" i="20"/>
  <c r="AO207" i="20"/>
  <c r="AO205" i="20" s="1"/>
  <c r="AO204" i="20" s="1"/>
  <c r="AO226" i="20"/>
  <c r="AP205" i="20"/>
  <c r="AP204" i="20" s="1"/>
  <c r="AP210" i="20"/>
  <c r="AP209" i="20" s="1"/>
  <c r="AP217" i="20"/>
  <c r="AP216" i="20" s="1"/>
  <c r="AP219" i="20"/>
  <c r="AP226" i="20"/>
  <c r="AQ205" i="20"/>
  <c r="AQ204" i="20" s="1"/>
  <c r="AQ210" i="20"/>
  <c r="AQ209" i="20" s="1"/>
  <c r="AQ217" i="20"/>
  <c r="AQ216" i="20" s="1"/>
  <c r="AQ219" i="20"/>
  <c r="AQ226" i="20"/>
  <c r="AR205" i="20"/>
  <c r="AR204" i="20" s="1"/>
  <c r="AR210" i="20"/>
  <c r="AR209" i="20" s="1"/>
  <c r="AR217" i="20"/>
  <c r="AR216" i="20" s="1"/>
  <c r="AR219" i="20"/>
  <c r="AR226" i="20"/>
  <c r="AS211" i="20"/>
  <c r="AS212" i="20"/>
  <c r="AS213" i="20"/>
  <c r="AS214" i="20"/>
  <c r="AS215" i="20"/>
  <c r="AS218" i="20"/>
  <c r="AS217" i="20" s="1"/>
  <c r="AS216" i="20" s="1"/>
  <c r="AS219" i="20"/>
  <c r="AS226" i="20"/>
  <c r="AU207" i="20"/>
  <c r="AU205" i="20" s="1"/>
  <c r="AU204" i="20" s="1"/>
  <c r="AT219" i="20"/>
  <c r="AT226" i="20"/>
  <c r="AU219" i="20"/>
  <c r="AU226" i="20"/>
  <c r="AV211" i="20"/>
  <c r="AV212" i="20"/>
  <c r="AV214" i="20"/>
  <c r="AV215" i="20"/>
  <c r="AV207" i="20"/>
  <c r="AV205" i="20" s="1"/>
  <c r="AV204" i="20" s="1"/>
  <c r="AV218" i="20"/>
  <c r="AV217" i="20" s="1"/>
  <c r="AV216" i="20" s="1"/>
  <c r="AV221" i="20"/>
  <c r="AV222" i="20"/>
  <c r="AV223" i="20"/>
  <c r="AV224" i="20"/>
  <c r="AW205" i="20"/>
  <c r="AW204" i="20" s="1"/>
  <c r="AW217" i="20"/>
  <c r="AW216" i="20" s="1"/>
  <c r="AW219" i="20"/>
  <c r="J205" i="20"/>
  <c r="J204" i="20" s="1"/>
  <c r="J215" i="20"/>
  <c r="J210" i="20" s="1"/>
  <c r="J209" i="20" s="1"/>
  <c r="J217" i="20"/>
  <c r="J216" i="20" s="1"/>
  <c r="J223" i="20"/>
  <c r="J227" i="20"/>
  <c r="J228" i="20"/>
  <c r="J229" i="20"/>
  <c r="J230" i="20"/>
  <c r="AV348" i="20"/>
  <c r="S348" i="20"/>
  <c r="AW401" i="20"/>
  <c r="AW76" i="20"/>
  <c r="AW86" i="20"/>
  <c r="AW85" i="20" s="1"/>
  <c r="AW108" i="20"/>
  <c r="AW130" i="20"/>
  <c r="AW129" i="20" s="1"/>
  <c r="AW176" i="20"/>
  <c r="AW175" i="20" s="1"/>
  <c r="AW186" i="20"/>
  <c r="AW247" i="20"/>
  <c r="AW286" i="20"/>
  <c r="AW285" i="20" s="1"/>
  <c r="AW383" i="20"/>
  <c r="AW415" i="20"/>
  <c r="AW48" i="20"/>
  <c r="K415" i="20"/>
  <c r="L415" i="20"/>
  <c r="M415" i="20"/>
  <c r="N415" i="20"/>
  <c r="O415" i="20"/>
  <c r="P416" i="20"/>
  <c r="P415" i="20" s="1"/>
  <c r="Q416" i="20"/>
  <c r="Q415" i="20" s="1"/>
  <c r="R429" i="20"/>
  <c r="R431" i="20"/>
  <c r="R432" i="20"/>
  <c r="S415" i="20"/>
  <c r="T415" i="20"/>
  <c r="U415" i="20"/>
  <c r="V415" i="20"/>
  <c r="W415" i="20"/>
  <c r="X415" i="20"/>
  <c r="Y415" i="20"/>
  <c r="Z415" i="20"/>
  <c r="AA415" i="20"/>
  <c r="AB416" i="20"/>
  <c r="AB415" i="20" s="1"/>
  <c r="AC415" i="20"/>
  <c r="AD415" i="20"/>
  <c r="AE415" i="20"/>
  <c r="AF415" i="20"/>
  <c r="AG416" i="20"/>
  <c r="AG432" i="20"/>
  <c r="AI415" i="20"/>
  <c r="AJ415" i="20"/>
  <c r="AO416" i="20"/>
  <c r="AK416" i="20" s="1"/>
  <c r="AK415" i="20" s="1"/>
  <c r="AL416" i="20"/>
  <c r="AL429" i="20"/>
  <c r="AM416" i="20"/>
  <c r="AM415" i="20" s="1"/>
  <c r="AN416" i="20"/>
  <c r="AN415" i="20" s="1"/>
  <c r="AO429" i="20"/>
  <c r="AT429" i="20" s="1"/>
  <c r="AO431" i="20"/>
  <c r="AP432" i="20"/>
  <c r="AQ415" i="20"/>
  <c r="AR415" i="20"/>
  <c r="AU429" i="20"/>
  <c r="AU431" i="20"/>
  <c r="AV416" i="20"/>
  <c r="AV429" i="20"/>
  <c r="AV431" i="20"/>
  <c r="AV432" i="20"/>
  <c r="AX432" i="20"/>
  <c r="AX415" i="20" s="1"/>
  <c r="AY415" i="20"/>
  <c r="J415" i="20"/>
  <c r="AT46" i="20"/>
  <c r="AS46" i="20" s="1"/>
  <c r="AT47" i="20"/>
  <c r="AS47" i="20" s="1"/>
  <c r="J238" i="20"/>
  <c r="Q383" i="20"/>
  <c r="R385" i="20"/>
  <c r="R386" i="20"/>
  <c r="R388" i="20"/>
  <c r="R392" i="20"/>
  <c r="R393" i="20"/>
  <c r="W391" i="20"/>
  <c r="W384" i="20" s="1"/>
  <c r="X391" i="20"/>
  <c r="X384" i="20" s="1"/>
  <c r="Y391" i="20"/>
  <c r="Y384" i="20" s="1"/>
  <c r="Z391" i="20"/>
  <c r="Z384" i="20" s="1"/>
  <c r="AA391" i="20"/>
  <c r="AA384" i="20" s="1"/>
  <c r="AB391" i="20"/>
  <c r="AB384" i="20" s="1"/>
  <c r="AC391" i="20"/>
  <c r="AD391" i="20"/>
  <c r="AD384" i="20" s="1"/>
  <c r="AE391" i="20"/>
  <c r="AE384" i="20" s="1"/>
  <c r="AF391" i="20"/>
  <c r="AF384" i="20" s="1"/>
  <c r="AG391" i="20"/>
  <c r="AG384" i="20" s="1"/>
  <c r="AH391" i="20"/>
  <c r="AH384" i="20" s="1"/>
  <c r="AK391" i="20"/>
  <c r="AL391" i="20"/>
  <c r="AL384" i="20" s="1"/>
  <c r="AM391" i="20"/>
  <c r="AM384" i="20" s="1"/>
  <c r="AM383" i="20" s="1"/>
  <c r="AN391" i="20"/>
  <c r="AN384" i="20" s="1"/>
  <c r="AO385" i="20"/>
  <c r="AO391" i="20"/>
  <c r="AP391" i="20"/>
  <c r="AQ391" i="20"/>
  <c r="AQ384" i="20" s="1"/>
  <c r="AR391" i="20"/>
  <c r="AS383" i="20"/>
  <c r="AT383" i="20"/>
  <c r="AU383" i="20"/>
  <c r="AV385" i="20"/>
  <c r="AV386" i="20"/>
  <c r="AV387" i="20"/>
  <c r="AV388" i="20"/>
  <c r="AV389" i="20"/>
  <c r="AV390" i="20"/>
  <c r="AV392" i="20"/>
  <c r="AV393" i="20"/>
  <c r="J385" i="20"/>
  <c r="J388" i="20"/>
  <c r="J392" i="20"/>
  <c r="J393" i="20"/>
  <c r="AV321" i="20"/>
  <c r="AU63" i="20"/>
  <c r="AU62" i="20" s="1"/>
  <c r="K130" i="20"/>
  <c r="K129" i="20" s="1"/>
  <c r="L130" i="20"/>
  <c r="M130" i="20"/>
  <c r="N130" i="20"/>
  <c r="O130" i="20"/>
  <c r="O129" i="20" s="1"/>
  <c r="P132" i="20"/>
  <c r="P133" i="20"/>
  <c r="P134" i="20"/>
  <c r="Q132" i="20"/>
  <c r="Q133" i="20"/>
  <c r="Q134" i="20"/>
  <c r="R131" i="20"/>
  <c r="R130" i="20" s="1"/>
  <c r="R129" i="20" s="1"/>
  <c r="S130" i="20"/>
  <c r="S129" i="20" s="1"/>
  <c r="T130" i="20"/>
  <c r="U130" i="20"/>
  <c r="V130" i="20"/>
  <c r="W130" i="20"/>
  <c r="W129" i="20" s="1"/>
  <c r="X130" i="20"/>
  <c r="Y130" i="20"/>
  <c r="Z130" i="20"/>
  <c r="AA130" i="20"/>
  <c r="AA129" i="20" s="1"/>
  <c r="AB130" i="20"/>
  <c r="AC130" i="20"/>
  <c r="AD130" i="20"/>
  <c r="AE130" i="20"/>
  <c r="AE129" i="20" s="1"/>
  <c r="AF130" i="20"/>
  <c r="AG132" i="20"/>
  <c r="AG133" i="20"/>
  <c r="AG134" i="20"/>
  <c r="AH132" i="20"/>
  <c r="AH133" i="20"/>
  <c r="AH134" i="20"/>
  <c r="AI130" i="20"/>
  <c r="AJ130" i="20"/>
  <c r="AK132" i="20"/>
  <c r="AL133" i="20"/>
  <c r="AK133" i="20" s="1"/>
  <c r="AO134" i="20"/>
  <c r="AK134" i="20" s="1"/>
  <c r="AL134" i="20"/>
  <c r="AM132" i="20"/>
  <c r="AM133" i="20"/>
  <c r="AM134" i="20"/>
  <c r="AN134" i="20"/>
  <c r="AN130" i="20" s="1"/>
  <c r="AN129" i="20" s="1"/>
  <c r="AO131" i="20"/>
  <c r="AO132" i="20"/>
  <c r="AO133" i="20"/>
  <c r="AP130" i="20"/>
  <c r="AQ130" i="20"/>
  <c r="AR130" i="20"/>
  <c r="AS130" i="20"/>
  <c r="AS129" i="20" s="1"/>
  <c r="AT130" i="20"/>
  <c r="AU130" i="20"/>
  <c r="AV132" i="20"/>
  <c r="AV131" i="20"/>
  <c r="AV133" i="20"/>
  <c r="AV134" i="20"/>
  <c r="AX130" i="20"/>
  <c r="AX129" i="20" s="1"/>
  <c r="AY130" i="20"/>
  <c r="J131" i="20"/>
  <c r="J132" i="20"/>
  <c r="J134" i="20"/>
  <c r="R152" i="20"/>
  <c r="R151" i="20" s="1"/>
  <c r="AV200" i="20"/>
  <c r="AV199" i="20" s="1"/>
  <c r="K199" i="20"/>
  <c r="L199" i="20"/>
  <c r="M199" i="20"/>
  <c r="N199" i="20"/>
  <c r="O199" i="20"/>
  <c r="P199" i="20"/>
  <c r="Q199" i="20"/>
  <c r="R199" i="20"/>
  <c r="S199" i="20"/>
  <c r="T199" i="20"/>
  <c r="U199" i="20"/>
  <c r="V199" i="20"/>
  <c r="W199" i="20"/>
  <c r="X199" i="20"/>
  <c r="Y199" i="20"/>
  <c r="Z199" i="20"/>
  <c r="AA199" i="20"/>
  <c r="AB199" i="20"/>
  <c r="AC199" i="20"/>
  <c r="AD199" i="20"/>
  <c r="AE199" i="20"/>
  <c r="AF199" i="20"/>
  <c r="AG199" i="20"/>
  <c r="AH199" i="20"/>
  <c r="AI199" i="20"/>
  <c r="AI180" i="20" s="1"/>
  <c r="AJ199" i="20"/>
  <c r="AJ180" i="20" s="1"/>
  <c r="AK200" i="20"/>
  <c r="AM199" i="20"/>
  <c r="AN199" i="20"/>
  <c r="AO199" i="20"/>
  <c r="AP199" i="20"/>
  <c r="AQ199" i="20"/>
  <c r="AR199" i="20"/>
  <c r="AS199" i="20"/>
  <c r="AT199" i="20"/>
  <c r="AU199" i="20"/>
  <c r="AW199" i="20"/>
  <c r="J200" i="20"/>
  <c r="J199" i="20" s="1"/>
  <c r="K182" i="20"/>
  <c r="K181" i="20" s="1"/>
  <c r="K187" i="20"/>
  <c r="K186" i="20" s="1"/>
  <c r="K194" i="20"/>
  <c r="K195" i="20"/>
  <c r="L182" i="20"/>
  <c r="L181" i="20" s="1"/>
  <c r="L187" i="20"/>
  <c r="L186" i="20" s="1"/>
  <c r="L192" i="20"/>
  <c r="L191" i="20" s="1"/>
  <c r="M182" i="20"/>
  <c r="M181" i="20" s="1"/>
  <c r="M187" i="20"/>
  <c r="M186" i="20" s="1"/>
  <c r="M192" i="20"/>
  <c r="M191" i="20" s="1"/>
  <c r="N182" i="20"/>
  <c r="N181" i="20" s="1"/>
  <c r="N187" i="20"/>
  <c r="N186" i="20" s="1"/>
  <c r="N192" i="20"/>
  <c r="N191" i="20" s="1"/>
  <c r="O182" i="20"/>
  <c r="O181" i="20" s="1"/>
  <c r="O187" i="20"/>
  <c r="O186" i="20" s="1"/>
  <c r="O192" i="20"/>
  <c r="O191" i="20" s="1"/>
  <c r="P183" i="20"/>
  <c r="P184" i="20"/>
  <c r="P185" i="20"/>
  <c r="P188" i="20"/>
  <c r="P189" i="20"/>
  <c r="P190" i="20"/>
  <c r="P193" i="20"/>
  <c r="P194" i="20"/>
  <c r="P195" i="20"/>
  <c r="P196" i="20"/>
  <c r="P197" i="20"/>
  <c r="P198" i="20"/>
  <c r="Q183" i="20"/>
  <c r="Q184" i="20"/>
  <c r="Q185" i="20"/>
  <c r="Q188" i="20"/>
  <c r="Q189" i="20"/>
  <c r="Q190" i="20"/>
  <c r="Q193" i="20"/>
  <c r="Q194" i="20"/>
  <c r="Q195" i="20"/>
  <c r="Q196" i="20"/>
  <c r="Q197" i="20"/>
  <c r="Q198" i="20"/>
  <c r="R182" i="20"/>
  <c r="R181" i="20" s="1"/>
  <c r="R189" i="20"/>
  <c r="R190" i="20"/>
  <c r="R193" i="20"/>
  <c r="R195" i="20"/>
  <c r="R196" i="20"/>
  <c r="R197" i="20"/>
  <c r="S182" i="20"/>
  <c r="S181" i="20" s="1"/>
  <c r="S187" i="20"/>
  <c r="S186" i="20" s="1"/>
  <c r="S192" i="20"/>
  <c r="S191" i="20" s="1"/>
  <c r="T182" i="20"/>
  <c r="T181" i="20" s="1"/>
  <c r="T187" i="20"/>
  <c r="T186" i="20" s="1"/>
  <c r="T192" i="20"/>
  <c r="T191" i="20" s="1"/>
  <c r="U182" i="20"/>
  <c r="U181" i="20" s="1"/>
  <c r="U187" i="20"/>
  <c r="U186" i="20" s="1"/>
  <c r="U192" i="20"/>
  <c r="U191" i="20" s="1"/>
  <c r="V183" i="20"/>
  <c r="V182" i="20" s="1"/>
  <c r="V181" i="20" s="1"/>
  <c r="V187" i="20"/>
  <c r="V186" i="20" s="1"/>
  <c r="V192" i="20"/>
  <c r="V191" i="20" s="1"/>
  <c r="W182" i="20"/>
  <c r="W181" i="20" s="1"/>
  <c r="W187" i="20"/>
  <c r="W186" i="20" s="1"/>
  <c r="W192" i="20"/>
  <c r="W191" i="20" s="1"/>
  <c r="X182" i="20"/>
  <c r="X181" i="20" s="1"/>
  <c r="X187" i="20"/>
  <c r="X186" i="20" s="1"/>
  <c r="X192" i="20"/>
  <c r="X191" i="20" s="1"/>
  <c r="Y182" i="20"/>
  <c r="Y181" i="20" s="1"/>
  <c r="Y187" i="20"/>
  <c r="Y186" i="20" s="1"/>
  <c r="Y192" i="20"/>
  <c r="Y191" i="20" s="1"/>
  <c r="Z182" i="20"/>
  <c r="Z181" i="20" s="1"/>
  <c r="Z187" i="20"/>
  <c r="Z186" i="20" s="1"/>
  <c r="Z192" i="20"/>
  <c r="Z191" i="20" s="1"/>
  <c r="AA184" i="20"/>
  <c r="AA182" i="20" s="1"/>
  <c r="AA181" i="20" s="1"/>
  <c r="AA188" i="20"/>
  <c r="AA187" i="20" s="1"/>
  <c r="AA186" i="20" s="1"/>
  <c r="AA192" i="20"/>
  <c r="AA191" i="20" s="1"/>
  <c r="AB182" i="20"/>
  <c r="AB181" i="20" s="1"/>
  <c r="AB187" i="20"/>
  <c r="AB186" i="20" s="1"/>
  <c r="AB192" i="20"/>
  <c r="AB191" i="20" s="1"/>
  <c r="AC182" i="20"/>
  <c r="AC181" i="20" s="1"/>
  <c r="AC187" i="20"/>
  <c r="AC186" i="20" s="1"/>
  <c r="AC192" i="20"/>
  <c r="AC191" i="20" s="1"/>
  <c r="AD182" i="20"/>
  <c r="AD181" i="20" s="1"/>
  <c r="AD187" i="20"/>
  <c r="AD186" i="20" s="1"/>
  <c r="AD192" i="20"/>
  <c r="AD191" i="20" s="1"/>
  <c r="AE182" i="20"/>
  <c r="AE181" i="20" s="1"/>
  <c r="AE187" i="20"/>
  <c r="AE186" i="20" s="1"/>
  <c r="AE192" i="20"/>
  <c r="AE191" i="20" s="1"/>
  <c r="AF182" i="20"/>
  <c r="AF181" i="20" s="1"/>
  <c r="AF187" i="20"/>
  <c r="AF186" i="20" s="1"/>
  <c r="AF192" i="20"/>
  <c r="AF191" i="20" s="1"/>
  <c r="AG183" i="20"/>
  <c r="AG185" i="20"/>
  <c r="AG189" i="20"/>
  <c r="AG190" i="20"/>
  <c r="AG193" i="20"/>
  <c r="AG194" i="20"/>
  <c r="AG195" i="20"/>
  <c r="AG196" i="20"/>
  <c r="AG197" i="20"/>
  <c r="AG198" i="20"/>
  <c r="AH183" i="20"/>
  <c r="AH185" i="20"/>
  <c r="AH188" i="20"/>
  <c r="AU188" i="20" s="1"/>
  <c r="AH189" i="20"/>
  <c r="AU189" i="20" s="1"/>
  <c r="AT189" i="20" s="1"/>
  <c r="AH190" i="20"/>
  <c r="AU190" i="20" s="1"/>
  <c r="AT190" i="20" s="1"/>
  <c r="AH193" i="20"/>
  <c r="AU193" i="20" s="1"/>
  <c r="AT193" i="20" s="1"/>
  <c r="AH194" i="20"/>
  <c r="AU194" i="20" s="1"/>
  <c r="AT194" i="20" s="1"/>
  <c r="AH195" i="20"/>
  <c r="AU195" i="20" s="1"/>
  <c r="AT195" i="20" s="1"/>
  <c r="AH196" i="20"/>
  <c r="AU196" i="20" s="1"/>
  <c r="AT196" i="20" s="1"/>
  <c r="AH197" i="20"/>
  <c r="AU197" i="20" s="1"/>
  <c r="AT197" i="20" s="1"/>
  <c r="AH198" i="20"/>
  <c r="AU198" i="20" s="1"/>
  <c r="AT198" i="20" s="1"/>
  <c r="AK185" i="20"/>
  <c r="AK184" i="20"/>
  <c r="AO189" i="20"/>
  <c r="AK189" i="20" s="1"/>
  <c r="AO190" i="20"/>
  <c r="AK190" i="20" s="1"/>
  <c r="AO188" i="20"/>
  <c r="AL188" i="20" s="1"/>
  <c r="AK194" i="20"/>
  <c r="AL194" i="20" s="1"/>
  <c r="AK195" i="20"/>
  <c r="AL195" i="20" s="1"/>
  <c r="AK196" i="20"/>
  <c r="AL196" i="20" s="1"/>
  <c r="AO197" i="20"/>
  <c r="AL197" i="20" s="1"/>
  <c r="AK197" i="20" s="1"/>
  <c r="AK198" i="20"/>
  <c r="AL198" i="20" s="1"/>
  <c r="AK193" i="20"/>
  <c r="AL193" i="20" s="1"/>
  <c r="AP185" i="20"/>
  <c r="AL185" i="20" s="1"/>
  <c r="AL189" i="20"/>
  <c r="AL190" i="20"/>
  <c r="AM183" i="20"/>
  <c r="AM184" i="20"/>
  <c r="AM185" i="20"/>
  <c r="AM188" i="20"/>
  <c r="AM189" i="20"/>
  <c r="AM190" i="20"/>
  <c r="AM193" i="20"/>
  <c r="AM194" i="20"/>
  <c r="AM195" i="20"/>
  <c r="AM196" i="20"/>
  <c r="AM197" i="20"/>
  <c r="AM198" i="20"/>
  <c r="AN183" i="20"/>
  <c r="AN184" i="20"/>
  <c r="AN185" i="20"/>
  <c r="AN188" i="20"/>
  <c r="AN189" i="20"/>
  <c r="AN190" i="20"/>
  <c r="AN193" i="20"/>
  <c r="AN194" i="20"/>
  <c r="AN195" i="20"/>
  <c r="AN196" i="20"/>
  <c r="AN197" i="20"/>
  <c r="AN198" i="20"/>
  <c r="AO193" i="20"/>
  <c r="AO194" i="20"/>
  <c r="AO195" i="20"/>
  <c r="AO196" i="20"/>
  <c r="AO198" i="20"/>
  <c r="AO183" i="20"/>
  <c r="AO184" i="20"/>
  <c r="AP187" i="20"/>
  <c r="AP186" i="20" s="1"/>
  <c r="AP192" i="20"/>
  <c r="AP191" i="20" s="1"/>
  <c r="AQ182" i="20"/>
  <c r="AQ181" i="20" s="1"/>
  <c r="AQ187" i="20"/>
  <c r="AQ186" i="20" s="1"/>
  <c r="AQ192" i="20"/>
  <c r="AQ191" i="20" s="1"/>
  <c r="AR182" i="20"/>
  <c r="AR181" i="20" s="1"/>
  <c r="AR187" i="20"/>
  <c r="AR186" i="20" s="1"/>
  <c r="AR192" i="20"/>
  <c r="AR191" i="20" s="1"/>
  <c r="AS184" i="20"/>
  <c r="AS189" i="20"/>
  <c r="AS190" i="20"/>
  <c r="AS188" i="20"/>
  <c r="AS194" i="20"/>
  <c r="AS195" i="20"/>
  <c r="AS196" i="20"/>
  <c r="AS197" i="20"/>
  <c r="AS198" i="20"/>
  <c r="AS193" i="20"/>
  <c r="AV185" i="20"/>
  <c r="AV183" i="20"/>
  <c r="AV189" i="20"/>
  <c r="AV190" i="20"/>
  <c r="AV188" i="20"/>
  <c r="AV194" i="20"/>
  <c r="AV195" i="20"/>
  <c r="AV196" i="20"/>
  <c r="AV197" i="20"/>
  <c r="AV198" i="20"/>
  <c r="AV193" i="20"/>
  <c r="AX182" i="20"/>
  <c r="AX181" i="20" s="1"/>
  <c r="AX187" i="20"/>
  <c r="AX186" i="20" s="1"/>
  <c r="AX192" i="20"/>
  <c r="AX191" i="20" s="1"/>
  <c r="AY182" i="20"/>
  <c r="AY181" i="20" s="1"/>
  <c r="AY187" i="20"/>
  <c r="AY186" i="20" s="1"/>
  <c r="AY192" i="20"/>
  <c r="AY191" i="20" s="1"/>
  <c r="J182" i="20"/>
  <c r="J181" i="20" s="1"/>
  <c r="J187" i="20"/>
  <c r="J186" i="20" s="1"/>
  <c r="J197" i="20"/>
  <c r="J198" i="20"/>
  <c r="K375" i="20"/>
  <c r="L375" i="20"/>
  <c r="M375" i="20"/>
  <c r="N375" i="20"/>
  <c r="O375" i="20"/>
  <c r="P376" i="20"/>
  <c r="P377" i="20"/>
  <c r="P378" i="20"/>
  <c r="P379" i="20"/>
  <c r="P380" i="20"/>
  <c r="Q376" i="20"/>
  <c r="Q377" i="20"/>
  <c r="Q378" i="20"/>
  <c r="Q379" i="20"/>
  <c r="Q380" i="20"/>
  <c r="S377" i="20"/>
  <c r="R377" i="20" s="1"/>
  <c r="R379" i="20"/>
  <c r="R381" i="20"/>
  <c r="S376" i="20"/>
  <c r="T375" i="20"/>
  <c r="U375" i="20"/>
  <c r="V376" i="20"/>
  <c r="AS376" i="20" s="1"/>
  <c r="V377" i="20"/>
  <c r="AS377" i="20" s="1"/>
  <c r="W375" i="20"/>
  <c r="X375" i="20"/>
  <c r="Y375" i="20"/>
  <c r="Z375" i="20"/>
  <c r="Z370" i="20" s="1"/>
  <c r="AB376" i="20"/>
  <c r="AB375" i="20" s="1"/>
  <c r="AC375" i="20"/>
  <c r="AD375" i="20"/>
  <c r="AE375" i="20"/>
  <c r="AF375" i="20"/>
  <c r="AG377" i="20"/>
  <c r="AG378" i="20"/>
  <c r="AG379" i="20"/>
  <c r="AG380" i="20"/>
  <c r="AH377" i="20"/>
  <c r="AU377" i="20" s="1"/>
  <c r="AH378" i="20"/>
  <c r="AU378" i="20" s="1"/>
  <c r="AH379" i="20"/>
  <c r="AU379" i="20" s="1"/>
  <c r="AH380" i="20"/>
  <c r="AU380" i="20" s="1"/>
  <c r="AI375" i="20"/>
  <c r="AJ375" i="20"/>
  <c r="AO376" i="20"/>
  <c r="AK376" i="20" s="1"/>
  <c r="AO377" i="20"/>
  <c r="AO378" i="20"/>
  <c r="AO379" i="20"/>
  <c r="AK379" i="20" s="1"/>
  <c r="AO380" i="20"/>
  <c r="AK380" i="20" s="1"/>
  <c r="AL376" i="20"/>
  <c r="AL377" i="20"/>
  <c r="AL378" i="20"/>
  <c r="AL379" i="20"/>
  <c r="AL380" i="20"/>
  <c r="AM376" i="20"/>
  <c r="AM377" i="20"/>
  <c r="AM378" i="20"/>
  <c r="AM379" i="20"/>
  <c r="AM380" i="20"/>
  <c r="AN376" i="20"/>
  <c r="AN377" i="20"/>
  <c r="AO381" i="20"/>
  <c r="AT381" i="20" s="1"/>
  <c r="AP375" i="20"/>
  <c r="AQ375" i="20"/>
  <c r="AR375" i="20"/>
  <c r="AU381" i="20"/>
  <c r="AV381" i="20"/>
  <c r="AV380" i="20"/>
  <c r="AV379" i="20"/>
  <c r="AV378" i="20"/>
  <c r="AV376" i="20"/>
  <c r="AV377" i="20"/>
  <c r="AX375" i="20"/>
  <c r="AY375" i="20"/>
  <c r="J380" i="20"/>
  <c r="J375" i="20" s="1"/>
  <c r="AO455" i="20"/>
  <c r="AV454" i="20"/>
  <c r="AV452" i="20" s="1"/>
  <c r="AO454" i="20"/>
  <c r="AU452" i="20"/>
  <c r="AT452" i="20"/>
  <c r="AS452" i="20"/>
  <c r="AR452" i="20"/>
  <c r="AQ452" i="20"/>
  <c r="AP452" i="20"/>
  <c r="AN452" i="20"/>
  <c r="AM452" i="20"/>
  <c r="AL452" i="20"/>
  <c r="AK452" i="20"/>
  <c r="AJ452" i="20"/>
  <c r="AI452" i="20"/>
  <c r="AH452" i="20"/>
  <c r="AG452" i="20"/>
  <c r="AF452" i="20"/>
  <c r="AE452" i="20"/>
  <c r="AD452" i="20"/>
  <c r="AC452" i="20"/>
  <c r="AB452" i="20"/>
  <c r="AA452" i="20"/>
  <c r="Z452" i="20"/>
  <c r="Y452" i="20"/>
  <c r="X452" i="20"/>
  <c r="W452" i="20"/>
  <c r="V452" i="20"/>
  <c r="U452" i="20"/>
  <c r="T452" i="20"/>
  <c r="S452" i="20"/>
  <c r="R452" i="20"/>
  <c r="AV451" i="20"/>
  <c r="AO451" i="20"/>
  <c r="J451" i="20"/>
  <c r="J447" i="20" s="1"/>
  <c r="AV450" i="20"/>
  <c r="AO450" i="20"/>
  <c r="AV449" i="20"/>
  <c r="AO449" i="20"/>
  <c r="AK447" i="20"/>
  <c r="AP447" i="20"/>
  <c r="AU447" i="20"/>
  <c r="AT447" i="20"/>
  <c r="AS447" i="20"/>
  <c r="AR447" i="20"/>
  <c r="AQ447" i="20"/>
  <c r="AN447" i="20"/>
  <c r="AM447" i="20"/>
  <c r="AL447" i="20"/>
  <c r="AJ447" i="20"/>
  <c r="AI447" i="20"/>
  <c r="AH447" i="20"/>
  <c r="AG447" i="20"/>
  <c r="AF447" i="20"/>
  <c r="AE447" i="20"/>
  <c r="AD447" i="20"/>
  <c r="AC447" i="20"/>
  <c r="AB447" i="20"/>
  <c r="AA447" i="20"/>
  <c r="Z447" i="20"/>
  <c r="Y447" i="20"/>
  <c r="X447" i="20"/>
  <c r="W447" i="20"/>
  <c r="V447" i="20"/>
  <c r="U447" i="20"/>
  <c r="T447" i="20"/>
  <c r="S447" i="20"/>
  <c r="R447" i="20"/>
  <c r="Q447" i="20"/>
  <c r="P447" i="20"/>
  <c r="O447" i="20"/>
  <c r="N447" i="20"/>
  <c r="M447" i="20"/>
  <c r="L447" i="20"/>
  <c r="K447" i="20"/>
  <c r="AT446" i="20"/>
  <c r="AV446" i="20"/>
  <c r="AO446" i="20"/>
  <c r="AT445" i="20"/>
  <c r="AV445" i="20"/>
  <c r="AO445" i="20"/>
  <c r="AT444" i="20"/>
  <c r="AV444" i="20"/>
  <c r="AO444" i="20"/>
  <c r="AV443" i="20"/>
  <c r="AV442" i="20"/>
  <c r="AO442" i="20"/>
  <c r="R442" i="20"/>
  <c r="AV441" i="20"/>
  <c r="AO441" i="20"/>
  <c r="R441" i="20"/>
  <c r="AK439" i="20"/>
  <c r="AP439" i="20"/>
  <c r="AU439" i="20"/>
  <c r="AS439" i="20"/>
  <c r="AR439" i="20"/>
  <c r="AQ439" i="20"/>
  <c r="AN439" i="20"/>
  <c r="AM439" i="20"/>
  <c r="AL439" i="20"/>
  <c r="AJ439" i="20"/>
  <c r="AI439" i="20"/>
  <c r="AH439" i="20"/>
  <c r="AG439" i="20"/>
  <c r="AF439" i="20"/>
  <c r="AE439" i="20"/>
  <c r="AD439" i="20"/>
  <c r="AC439" i="20"/>
  <c r="AB439" i="20"/>
  <c r="AA439" i="20"/>
  <c r="Z439" i="20"/>
  <c r="Y439" i="20"/>
  <c r="X439" i="20"/>
  <c r="W439" i="20"/>
  <c r="V439" i="20"/>
  <c r="U439" i="20"/>
  <c r="T439" i="20"/>
  <c r="S439" i="20"/>
  <c r="Q439" i="20"/>
  <c r="P439" i="20"/>
  <c r="O439" i="20"/>
  <c r="N439" i="20"/>
  <c r="M439" i="20"/>
  <c r="L439" i="20"/>
  <c r="K439" i="20"/>
  <c r="J439" i="20"/>
  <c r="K438" i="20"/>
  <c r="AV438" i="20"/>
  <c r="AV436" i="20" s="1"/>
  <c r="AT438" i="20"/>
  <c r="AT436" i="20" s="1"/>
  <c r="AO438" i="20"/>
  <c r="AO436" i="20" s="1"/>
  <c r="AG438" i="20"/>
  <c r="AG436" i="20" s="1"/>
  <c r="AK436" i="20"/>
  <c r="AP436" i="20"/>
  <c r="AU436" i="20"/>
  <c r="AS436" i="20"/>
  <c r="AR436" i="20"/>
  <c r="AQ436" i="20"/>
  <c r="AN436" i="20"/>
  <c r="AM436" i="20"/>
  <c r="AL436" i="20"/>
  <c r="AJ436" i="20"/>
  <c r="AI436" i="20"/>
  <c r="AH436" i="20"/>
  <c r="AF436" i="20"/>
  <c r="AE436" i="20"/>
  <c r="AD436" i="20"/>
  <c r="AC436" i="20"/>
  <c r="AB436" i="20"/>
  <c r="AA436" i="20"/>
  <c r="Z436" i="20"/>
  <c r="Y436" i="20"/>
  <c r="X436" i="20"/>
  <c r="W436" i="20"/>
  <c r="V436" i="20"/>
  <c r="U436" i="20"/>
  <c r="T436" i="20"/>
  <c r="S436" i="20"/>
  <c r="R436" i="20"/>
  <c r="Q436" i="20"/>
  <c r="P436" i="20"/>
  <c r="O436" i="20"/>
  <c r="N436" i="20"/>
  <c r="M436" i="20"/>
  <c r="L436" i="20"/>
  <c r="J436" i="20"/>
  <c r="Q435" i="20"/>
  <c r="P435" i="20"/>
  <c r="O435" i="20"/>
  <c r="N435" i="20"/>
  <c r="M435" i="20"/>
  <c r="L435" i="20"/>
  <c r="AV320" i="20"/>
  <c r="AY348" i="20"/>
  <c r="AY332" i="20" s="1"/>
  <c r="AX348" i="20"/>
  <c r="AX332" i="20" s="1"/>
  <c r="AU348" i="20"/>
  <c r="AT348" i="20"/>
  <c r="AS348" i="20"/>
  <c r="AP348" i="20"/>
  <c r="AO348" i="20"/>
  <c r="AN348" i="20"/>
  <c r="AN335" i="20"/>
  <c r="AM348" i="20"/>
  <c r="AL348" i="20"/>
  <c r="AJ348" i="20"/>
  <c r="AI348" i="20"/>
  <c r="AH348" i="20"/>
  <c r="AG348" i="20"/>
  <c r="AF348" i="20"/>
  <c r="AF335" i="20"/>
  <c r="AE348" i="20"/>
  <c r="AD348" i="20"/>
  <c r="AC348" i="20"/>
  <c r="Z348" i="20"/>
  <c r="Z335" i="20"/>
  <c r="Y348" i="20"/>
  <c r="X348" i="20"/>
  <c r="W348" i="20"/>
  <c r="V348" i="20"/>
  <c r="T348" i="20"/>
  <c r="AR348" i="20"/>
  <c r="AQ348" i="20"/>
  <c r="AK348" i="20"/>
  <c r="AB348" i="20"/>
  <c r="AA348" i="20"/>
  <c r="U348" i="20"/>
  <c r="R348" i="20"/>
  <c r="AV347" i="20"/>
  <c r="R347" i="20"/>
  <c r="AV346" i="20"/>
  <c r="R346" i="20"/>
  <c r="AV345" i="20"/>
  <c r="R345" i="20"/>
  <c r="AV344" i="20"/>
  <c r="R344" i="20"/>
  <c r="AV343" i="20"/>
  <c r="R343" i="20"/>
  <c r="AV342" i="20"/>
  <c r="R342" i="20"/>
  <c r="AV341" i="20"/>
  <c r="R341" i="20"/>
  <c r="S340" i="20"/>
  <c r="R340" i="20" s="1"/>
  <c r="AV339" i="20"/>
  <c r="R339" i="20"/>
  <c r="AV338" i="20"/>
  <c r="AT338" i="20"/>
  <c r="R338" i="20"/>
  <c r="AV337" i="20"/>
  <c r="AT337" i="20"/>
  <c r="R337" i="20"/>
  <c r="AV336" i="20"/>
  <c r="R336" i="20"/>
  <c r="AV335" i="20"/>
  <c r="AU335" i="20"/>
  <c r="AU332" i="20" s="1"/>
  <c r="AS335" i="20"/>
  <c r="AR335" i="20"/>
  <c r="AQ335" i="20"/>
  <c r="AP335" i="20"/>
  <c r="AO335" i="20"/>
  <c r="AM335" i="20"/>
  <c r="AL335" i="20"/>
  <c r="AL332" i="20" s="1"/>
  <c r="AK335" i="20"/>
  <c r="AJ335" i="20"/>
  <c r="AI335" i="20"/>
  <c r="AH335" i="20"/>
  <c r="AG335" i="20"/>
  <c r="AE335" i="20"/>
  <c r="AD335" i="20"/>
  <c r="AC335" i="20"/>
  <c r="AC332" i="20" s="1"/>
  <c r="AB335" i="20"/>
  <c r="AA335" i="20"/>
  <c r="Y335" i="20"/>
  <c r="X335" i="20"/>
  <c r="X332" i="20" s="1"/>
  <c r="W335" i="20"/>
  <c r="V335" i="20"/>
  <c r="U335" i="20"/>
  <c r="T335" i="20"/>
  <c r="T332" i="20" s="1"/>
  <c r="S335" i="20"/>
  <c r="R335" i="20" s="1"/>
  <c r="Q335" i="20"/>
  <c r="Q332" i="20" s="1"/>
  <c r="P335" i="20"/>
  <c r="P332" i="20" s="1"/>
  <c r="O335" i="20"/>
  <c r="O332" i="20" s="1"/>
  <c r="N335" i="20"/>
  <c r="N332" i="20" s="1"/>
  <c r="M335" i="20"/>
  <c r="M332" i="20" s="1"/>
  <c r="L335" i="20"/>
  <c r="L332" i="20" s="1"/>
  <c r="K335" i="20"/>
  <c r="K332" i="20" s="1"/>
  <c r="J335" i="20"/>
  <c r="J332" i="20" s="1"/>
  <c r="AV334" i="20"/>
  <c r="AV333" i="20"/>
  <c r="G333" i="20"/>
  <c r="AI358" i="20"/>
  <c r="AJ358" i="20"/>
  <c r="J360" i="20"/>
  <c r="K360" i="20"/>
  <c r="L360" i="20"/>
  <c r="M360" i="20"/>
  <c r="N360" i="20"/>
  <c r="O360" i="20"/>
  <c r="T360" i="20"/>
  <c r="U360" i="20"/>
  <c r="W360" i="20"/>
  <c r="X360" i="20"/>
  <c r="Y360" i="20"/>
  <c r="Z360" i="20"/>
  <c r="AA360" i="20"/>
  <c r="AB360" i="20"/>
  <c r="AC360" i="20"/>
  <c r="AD360" i="20"/>
  <c r="AE360" i="20"/>
  <c r="AF360" i="20"/>
  <c r="AP360" i="20"/>
  <c r="AQ360" i="20"/>
  <c r="AR360" i="20"/>
  <c r="P361" i="20"/>
  <c r="P360" i="20" s="1"/>
  <c r="Q361" i="20"/>
  <c r="Q360" i="20" s="1"/>
  <c r="V361" i="20"/>
  <c r="V360" i="20" s="1"/>
  <c r="AG361" i="20"/>
  <c r="AG360" i="20" s="1"/>
  <c r="AL361" i="20"/>
  <c r="AL360" i="20" s="1"/>
  <c r="AM361" i="20"/>
  <c r="AM360" i="20" s="1"/>
  <c r="AN361" i="20"/>
  <c r="AN360" i="20" s="1"/>
  <c r="AO361" i="20"/>
  <c r="AV340" i="20"/>
  <c r="AI284" i="20"/>
  <c r="AJ284" i="20"/>
  <c r="S291" i="20"/>
  <c r="R291" i="20"/>
  <c r="AV293" i="20"/>
  <c r="AV294" i="20"/>
  <c r="AV292" i="20"/>
  <c r="R252" i="20"/>
  <c r="R249" i="20" s="1"/>
  <c r="J252" i="20"/>
  <c r="J249" i="20" s="1"/>
  <c r="L401" i="20"/>
  <c r="M401" i="20"/>
  <c r="N401" i="20"/>
  <c r="O401" i="20"/>
  <c r="P401" i="20"/>
  <c r="Q401" i="20"/>
  <c r="S401" i="20"/>
  <c r="T401" i="20"/>
  <c r="U401" i="20"/>
  <c r="V401" i="20"/>
  <c r="W401" i="20"/>
  <c r="X401" i="20"/>
  <c r="Y401" i="20"/>
  <c r="Z401" i="20"/>
  <c r="AA401" i="20"/>
  <c r="AB401" i="20"/>
  <c r="AC401" i="20"/>
  <c r="AD401" i="20"/>
  <c r="AE401" i="20"/>
  <c r="AF401" i="20"/>
  <c r="AG401" i="20"/>
  <c r="AH401" i="20"/>
  <c r="AI401" i="20"/>
  <c r="AJ401" i="20"/>
  <c r="AK401" i="20"/>
  <c r="AL401" i="20"/>
  <c r="AM401" i="20"/>
  <c r="AN401" i="20"/>
  <c r="AO401" i="20"/>
  <c r="AP401" i="20"/>
  <c r="AQ401" i="20"/>
  <c r="AR401" i="20"/>
  <c r="AS401" i="20"/>
  <c r="AT402" i="20"/>
  <c r="AT401" i="20" s="1"/>
  <c r="AU401" i="20"/>
  <c r="J401" i="20"/>
  <c r="AV402" i="20"/>
  <c r="AV401" i="20" s="1"/>
  <c r="R402" i="20"/>
  <c r="R401" i="20" s="1"/>
  <c r="K402" i="20"/>
  <c r="K401" i="20" s="1"/>
  <c r="AV135" i="20"/>
  <c r="AO135" i="20"/>
  <c r="AK135" i="20" s="1"/>
  <c r="AN135" i="20"/>
  <c r="AM135" i="20"/>
  <c r="AL135" i="20"/>
  <c r="AH135" i="20"/>
  <c r="AG135" i="20"/>
  <c r="Q135" i="20"/>
  <c r="P135" i="20"/>
  <c r="AW457" i="20"/>
  <c r="AV464" i="20"/>
  <c r="AV52" i="20"/>
  <c r="AV50" i="20"/>
  <c r="J79" i="20"/>
  <c r="K76" i="20"/>
  <c r="L76" i="20"/>
  <c r="M76" i="20"/>
  <c r="N76" i="20"/>
  <c r="O76" i="20"/>
  <c r="S76" i="20"/>
  <c r="T76" i="20"/>
  <c r="U76" i="20"/>
  <c r="V76" i="20"/>
  <c r="W76" i="20"/>
  <c r="X76" i="20"/>
  <c r="Y76" i="20"/>
  <c r="Z76" i="20"/>
  <c r="AA76" i="20"/>
  <c r="AB76" i="20"/>
  <c r="AC76" i="20"/>
  <c r="AD76" i="20"/>
  <c r="AE76" i="20"/>
  <c r="AF76" i="20"/>
  <c r="AI76" i="20"/>
  <c r="AJ76" i="20"/>
  <c r="AP76" i="20"/>
  <c r="AQ76" i="20"/>
  <c r="AR76" i="20"/>
  <c r="AX76" i="20"/>
  <c r="AY76" i="20"/>
  <c r="R79" i="20"/>
  <c r="V275" i="20"/>
  <c r="AI275" i="20"/>
  <c r="AJ275" i="20"/>
  <c r="J279" i="20"/>
  <c r="AV79" i="20"/>
  <c r="BA385" i="20"/>
  <c r="BA381" i="20"/>
  <c r="BA378" i="20"/>
  <c r="BA248" i="20"/>
  <c r="BA225" i="20"/>
  <c r="BA222" i="20"/>
  <c r="BA221" i="20"/>
  <c r="BA218" i="20"/>
  <c r="BA197" i="20"/>
  <c r="BA149" i="20"/>
  <c r="BA134" i="20"/>
  <c r="BA132" i="20"/>
  <c r="BA131" i="20"/>
  <c r="BA123" i="20"/>
  <c r="BA104" i="20"/>
  <c r="BA78" i="20"/>
  <c r="BA70" i="20"/>
  <c r="BA69" i="20"/>
  <c r="K88" i="20"/>
  <c r="L88" i="20"/>
  <c r="M88" i="20"/>
  <c r="N88" i="20"/>
  <c r="O88" i="20"/>
  <c r="S88" i="20"/>
  <c r="T88" i="20"/>
  <c r="U88" i="20"/>
  <c r="W88" i="20"/>
  <c r="X88" i="20"/>
  <c r="Y88" i="20"/>
  <c r="Z88" i="20"/>
  <c r="AB88" i="20"/>
  <c r="AC88" i="20"/>
  <c r="AD88" i="20"/>
  <c r="AE88" i="20"/>
  <c r="AF88" i="20"/>
  <c r="AI88" i="20"/>
  <c r="AJ88" i="20"/>
  <c r="AP88" i="20"/>
  <c r="AQ88" i="20"/>
  <c r="AR88" i="20"/>
  <c r="J111" i="20"/>
  <c r="J108" i="20"/>
  <c r="S108" i="20"/>
  <c r="AA108" i="20"/>
  <c r="AC108" i="20"/>
  <c r="AR108" i="20"/>
  <c r="AV111" i="20"/>
  <c r="AO111" i="20"/>
  <c r="AK111" i="20" s="1"/>
  <c r="AN111" i="20"/>
  <c r="AM111" i="20"/>
  <c r="AL111" i="20"/>
  <c r="AH111" i="20"/>
  <c r="AG111" i="20"/>
  <c r="R111" i="20"/>
  <c r="Q111" i="20"/>
  <c r="P111" i="20"/>
  <c r="AH310" i="20"/>
  <c r="AH309" i="20" s="1"/>
  <c r="AH308" i="20" s="1"/>
  <c r="AA310" i="20"/>
  <c r="AA309" i="20" s="1"/>
  <c r="AA308" i="20" s="1"/>
  <c r="J324" i="20"/>
  <c r="P324" i="20"/>
  <c r="Q324" i="20"/>
  <c r="AG324" i="20"/>
  <c r="AH324" i="20"/>
  <c r="AL324" i="20"/>
  <c r="AM324" i="20"/>
  <c r="AN324" i="20"/>
  <c r="AO324" i="20"/>
  <c r="AI269" i="20"/>
  <c r="AJ269" i="20"/>
  <c r="AV290" i="20"/>
  <c r="R288" i="20"/>
  <c r="J288" i="20"/>
  <c r="R287" i="20"/>
  <c r="AV225" i="20"/>
  <c r="AI205" i="20"/>
  <c r="AJ205" i="20"/>
  <c r="R225" i="20"/>
  <c r="J225" i="20"/>
  <c r="J222" i="20"/>
  <c r="O315" i="20"/>
  <c r="Z315" i="20"/>
  <c r="R320" i="20"/>
  <c r="J290" i="20"/>
  <c r="J323" i="20"/>
  <c r="AO323" i="20"/>
  <c r="AN323" i="20"/>
  <c r="AM323" i="20"/>
  <c r="AL323" i="20"/>
  <c r="AH323" i="20"/>
  <c r="AG323" i="20"/>
  <c r="Q323" i="20"/>
  <c r="P323" i="20"/>
  <c r="J319" i="20"/>
  <c r="J314" i="20"/>
  <c r="J309" i="20" s="1"/>
  <c r="J308" i="20" s="1"/>
  <c r="R107" i="20"/>
  <c r="J107" i="20"/>
  <c r="R78" i="20"/>
  <c r="AV81" i="20"/>
  <c r="AO81" i="20"/>
  <c r="AK81" i="20" s="1"/>
  <c r="AN81" i="20"/>
  <c r="AM81" i="20"/>
  <c r="AL81" i="20"/>
  <c r="AH81" i="20"/>
  <c r="AG81" i="20"/>
  <c r="AV318" i="20"/>
  <c r="R318" i="20"/>
  <c r="J318" i="20"/>
  <c r="R317" i="20"/>
  <c r="AV317" i="20"/>
  <c r="AV465" i="20"/>
  <c r="AO465" i="20"/>
  <c r="AO457" i="20" s="1"/>
  <c r="AV463" i="20"/>
  <c r="AO463" i="20"/>
  <c r="AN463" i="20"/>
  <c r="AM463" i="20"/>
  <c r="AL463" i="20"/>
  <c r="AH463" i="20"/>
  <c r="AG463" i="20"/>
  <c r="Q463" i="20"/>
  <c r="P463" i="20"/>
  <c r="AV462" i="20"/>
  <c r="AO462" i="20"/>
  <c r="AK462" i="20" s="1"/>
  <c r="AN462" i="20"/>
  <c r="AM462" i="20"/>
  <c r="AL462" i="20"/>
  <c r="AH462" i="20"/>
  <c r="AG462" i="20"/>
  <c r="Q462" i="20"/>
  <c r="P462" i="20"/>
  <c r="AV461" i="20"/>
  <c r="AO461" i="20"/>
  <c r="AN461" i="20"/>
  <c r="AM461" i="20"/>
  <c r="AL461" i="20"/>
  <c r="AH461" i="20"/>
  <c r="AG461" i="20"/>
  <c r="Q461" i="20"/>
  <c r="P461" i="20"/>
  <c r="AK463" i="20"/>
  <c r="AV46" i="20"/>
  <c r="R172" i="20"/>
  <c r="AV51" i="20"/>
  <c r="AT48" i="20"/>
  <c r="AU48" i="20"/>
  <c r="AX48" i="20"/>
  <c r="AY48" i="20"/>
  <c r="AS48" i="20"/>
  <c r="AV53" i="20"/>
  <c r="AV49" i="20"/>
  <c r="AV47" i="20"/>
  <c r="K412" i="20"/>
  <c r="K410" i="20" s="1"/>
  <c r="L412" i="20"/>
  <c r="L410" i="20" s="1"/>
  <c r="M412" i="20"/>
  <c r="M410" i="20" s="1"/>
  <c r="N412" i="20"/>
  <c r="N410" i="20" s="1"/>
  <c r="O412" i="20"/>
  <c r="O410" i="20" s="1"/>
  <c r="P412" i="20"/>
  <c r="Q412" i="20"/>
  <c r="S412" i="20"/>
  <c r="S410" i="20" s="1"/>
  <c r="T412" i="20"/>
  <c r="T410" i="20" s="1"/>
  <c r="U412" i="20"/>
  <c r="U410" i="20" s="1"/>
  <c r="V412" i="20"/>
  <c r="V410" i="20" s="1"/>
  <c r="W412" i="20"/>
  <c r="W410" i="20" s="1"/>
  <c r="X412" i="20"/>
  <c r="X410" i="20" s="1"/>
  <c r="Y412" i="20"/>
  <c r="Y410" i="20" s="1"/>
  <c r="Z412" i="20"/>
  <c r="Z410" i="20" s="1"/>
  <c r="AA412" i="20"/>
  <c r="AA410" i="20" s="1"/>
  <c r="AB412" i="20"/>
  <c r="AB410" i="20" s="1"/>
  <c r="AC412" i="20"/>
  <c r="AC410" i="20" s="1"/>
  <c r="AD412" i="20"/>
  <c r="AD410" i="20" s="1"/>
  <c r="AE412" i="20"/>
  <c r="AE410" i="20" s="1"/>
  <c r="AF412" i="20"/>
  <c r="AF410" i="20" s="1"/>
  <c r="AG412" i="20"/>
  <c r="AH412" i="20"/>
  <c r="AI412" i="20"/>
  <c r="AI410" i="20" s="1"/>
  <c r="AJ412" i="20"/>
  <c r="AJ410" i="20" s="1"/>
  <c r="AK412" i="20"/>
  <c r="AL412" i="20"/>
  <c r="AM412" i="20"/>
  <c r="AN412" i="20"/>
  <c r="AP412" i="20"/>
  <c r="AP410" i="20" s="1"/>
  <c r="AQ412" i="20"/>
  <c r="AQ410" i="20" s="1"/>
  <c r="AR412" i="20"/>
  <c r="AR410" i="20" s="1"/>
  <c r="AS412" i="20"/>
  <c r="AS410" i="20" s="1"/>
  <c r="J412" i="20"/>
  <c r="J410" i="20" s="1"/>
  <c r="AV409" i="20"/>
  <c r="R409" i="20"/>
  <c r="K403" i="20"/>
  <c r="L403" i="20"/>
  <c r="M403" i="20"/>
  <c r="N403" i="20"/>
  <c r="O403" i="20"/>
  <c r="R403" i="20"/>
  <c r="S403" i="20"/>
  <c r="U403" i="20"/>
  <c r="U400" i="20" s="1"/>
  <c r="V403" i="20"/>
  <c r="W403" i="20"/>
  <c r="X403" i="20"/>
  <c r="Y403" i="20"/>
  <c r="Z403" i="20"/>
  <c r="AA403" i="20"/>
  <c r="AB403" i="20"/>
  <c r="AC403" i="20"/>
  <c r="AC400" i="20" s="1"/>
  <c r="AD403" i="20"/>
  <c r="AE403" i="20"/>
  <c r="AF403" i="20"/>
  <c r="AI403" i="20"/>
  <c r="AJ403" i="20"/>
  <c r="AP403" i="20"/>
  <c r="AQ403" i="20"/>
  <c r="AR403" i="20"/>
  <c r="AS403" i="20"/>
  <c r="AS400" i="20" s="1"/>
  <c r="J403" i="20"/>
  <c r="L362" i="20"/>
  <c r="M362" i="20"/>
  <c r="N362" i="20"/>
  <c r="O362" i="20"/>
  <c r="S362" i="20"/>
  <c r="T362" i="20"/>
  <c r="U362" i="20"/>
  <c r="U359" i="20" s="1"/>
  <c r="W362" i="20"/>
  <c r="W359" i="20" s="1"/>
  <c r="X362" i="20"/>
  <c r="Y362" i="20"/>
  <c r="Z362" i="20"/>
  <c r="AA362" i="20"/>
  <c r="AA359" i="20" s="1"/>
  <c r="AC362" i="20"/>
  <c r="AD362" i="20"/>
  <c r="AD359" i="20" s="1"/>
  <c r="AE362" i="20"/>
  <c r="AE359" i="20" s="1"/>
  <c r="AF362" i="20"/>
  <c r="AI362" i="20"/>
  <c r="AJ362" i="20"/>
  <c r="AP362" i="20"/>
  <c r="AQ362" i="20"/>
  <c r="AR362" i="20"/>
  <c r="AR359" i="20" s="1"/>
  <c r="J371" i="20"/>
  <c r="AV369" i="20"/>
  <c r="AO369" i="20"/>
  <c r="AT369" i="20" s="1"/>
  <c r="R369" i="20"/>
  <c r="J369" i="20"/>
  <c r="AO368" i="20"/>
  <c r="AM368" i="20"/>
  <c r="AL368" i="20"/>
  <c r="AV368" i="20"/>
  <c r="AG368" i="20"/>
  <c r="R368" i="20"/>
  <c r="Q368" i="20"/>
  <c r="P368" i="20"/>
  <c r="J368" i="20"/>
  <c r="AO367" i="20"/>
  <c r="AM367" i="20"/>
  <c r="AG367" i="20"/>
  <c r="Q367" i="20"/>
  <c r="P367" i="20"/>
  <c r="J367" i="20"/>
  <c r="AS366" i="20"/>
  <c r="AO366" i="20"/>
  <c r="AN366" i="20"/>
  <c r="AM366" i="20"/>
  <c r="AL366" i="20"/>
  <c r="AG366" i="20"/>
  <c r="AB366" i="20"/>
  <c r="AH366" i="20" s="1"/>
  <c r="AU366" i="20" s="1"/>
  <c r="AV366" i="20"/>
  <c r="R366" i="20"/>
  <c r="Q366" i="20"/>
  <c r="P366" i="20"/>
  <c r="K366" i="20"/>
  <c r="K362" i="20" s="1"/>
  <c r="AV107" i="20"/>
  <c r="AX362" i="20"/>
  <c r="AY362" i="20"/>
  <c r="R364" i="20"/>
  <c r="AS372" i="20"/>
  <c r="AS365" i="20"/>
  <c r="AI327" i="20"/>
  <c r="AJ327" i="20"/>
  <c r="AS330" i="20"/>
  <c r="AS329" i="20" s="1"/>
  <c r="AS328" i="20" s="1"/>
  <c r="AS327" i="20" s="1"/>
  <c r="AS319" i="20"/>
  <c r="L309" i="20"/>
  <c r="M309" i="20"/>
  <c r="M308" i="20" s="1"/>
  <c r="N309" i="20"/>
  <c r="O309" i="20"/>
  <c r="O308" i="20" s="1"/>
  <c r="O297" i="20" s="1"/>
  <c r="S309" i="20"/>
  <c r="T309" i="20"/>
  <c r="U309" i="20"/>
  <c r="W309" i="20"/>
  <c r="X309" i="20"/>
  <c r="X308" i="20" s="1"/>
  <c r="Y309" i="20"/>
  <c r="Y308" i="20" s="1"/>
  <c r="Z309" i="20"/>
  <c r="Z308" i="20" s="1"/>
  <c r="Z297" i="20" s="1"/>
  <c r="AB309" i="20"/>
  <c r="AC309" i="20"/>
  <c r="AD309" i="20"/>
  <c r="AE309" i="20"/>
  <c r="AF309" i="20"/>
  <c r="AI309" i="20"/>
  <c r="AJ309" i="20"/>
  <c r="AP309" i="20"/>
  <c r="AP308" i="20" s="1"/>
  <c r="AQ309" i="20"/>
  <c r="AQ308" i="20" s="1"/>
  <c r="AR309" i="20"/>
  <c r="AS313" i="20"/>
  <c r="AV313" i="20"/>
  <c r="AS312" i="20"/>
  <c r="AS288" i="20"/>
  <c r="AS289" i="20"/>
  <c r="AS290" i="20"/>
  <c r="AS287" i="20"/>
  <c r="AS271" i="20"/>
  <c r="AG246" i="20"/>
  <c r="AH246" i="20"/>
  <c r="AU246" i="20" s="1"/>
  <c r="AT246" i="20" s="1"/>
  <c r="AG244" i="20"/>
  <c r="AI233" i="20"/>
  <c r="AJ233" i="20"/>
  <c r="AR247" i="20"/>
  <c r="AS248" i="20"/>
  <c r="AS247" i="20" s="1"/>
  <c r="AS244" i="20"/>
  <c r="J221" i="20"/>
  <c r="AG208" i="20"/>
  <c r="AH208" i="20"/>
  <c r="AU208" i="20" s="1"/>
  <c r="AT208" i="20" s="1"/>
  <c r="AS208" i="20"/>
  <c r="AO208" i="20"/>
  <c r="AK208" i="20" s="1"/>
  <c r="AN208" i="20"/>
  <c r="AM208" i="20"/>
  <c r="AL208" i="20"/>
  <c r="R208" i="20"/>
  <c r="Q208" i="20"/>
  <c r="P208" i="20"/>
  <c r="L168" i="20"/>
  <c r="M168" i="20"/>
  <c r="N168" i="20"/>
  <c r="N167" i="20" s="1"/>
  <c r="O168" i="20"/>
  <c r="O167" i="20" s="1"/>
  <c r="S168" i="20"/>
  <c r="T168" i="20"/>
  <c r="T167" i="20" s="1"/>
  <c r="U168" i="20"/>
  <c r="V168" i="20"/>
  <c r="X168" i="20"/>
  <c r="X167" i="20" s="1"/>
  <c r="Y168" i="20"/>
  <c r="Z168" i="20"/>
  <c r="Z167" i="20" s="1"/>
  <c r="AC168" i="20"/>
  <c r="AC167" i="20" s="1"/>
  <c r="AD168" i="20"/>
  <c r="AE168" i="20"/>
  <c r="AE167" i="20" s="1"/>
  <c r="AF168" i="20"/>
  <c r="AI168" i="20"/>
  <c r="AJ168" i="20"/>
  <c r="AQ168" i="20"/>
  <c r="AR168" i="20"/>
  <c r="AR167" i="20" s="1"/>
  <c r="AX168" i="20"/>
  <c r="AX167" i="20" s="1"/>
  <c r="AY168" i="20"/>
  <c r="AY167" i="20" s="1"/>
  <c r="J168" i="20"/>
  <c r="J167" i="20" s="1"/>
  <c r="K176" i="20"/>
  <c r="K175" i="20" s="1"/>
  <c r="L176" i="20"/>
  <c r="L175" i="20" s="1"/>
  <c r="M176" i="20"/>
  <c r="M175" i="20" s="1"/>
  <c r="N176" i="20"/>
  <c r="N175" i="20" s="1"/>
  <c r="O176" i="20"/>
  <c r="O175" i="20" s="1"/>
  <c r="R176" i="20"/>
  <c r="R175" i="20" s="1"/>
  <c r="S176" i="20"/>
  <c r="S175" i="20" s="1"/>
  <c r="T176" i="20"/>
  <c r="T175" i="20" s="1"/>
  <c r="U176" i="20"/>
  <c r="U175" i="20" s="1"/>
  <c r="V176" i="20"/>
  <c r="V175" i="20" s="1"/>
  <c r="W176" i="20"/>
  <c r="W175" i="20" s="1"/>
  <c r="X176" i="20"/>
  <c r="X175" i="20" s="1"/>
  <c r="Y176" i="20"/>
  <c r="Y175" i="20" s="1"/>
  <c r="Z176" i="20"/>
  <c r="Z175" i="20" s="1"/>
  <c r="AA176" i="20"/>
  <c r="AA175" i="20" s="1"/>
  <c r="AB176" i="20"/>
  <c r="AB175" i="20" s="1"/>
  <c r="AC176" i="20"/>
  <c r="AC175" i="20" s="1"/>
  <c r="AD176" i="20"/>
  <c r="AD175" i="20" s="1"/>
  <c r="AE176" i="20"/>
  <c r="AE175" i="20" s="1"/>
  <c r="AF176" i="20"/>
  <c r="AF175" i="20" s="1"/>
  <c r="AI176" i="20"/>
  <c r="AI175" i="20" s="1"/>
  <c r="AI161" i="20" s="1"/>
  <c r="AJ176" i="20"/>
  <c r="AJ175" i="20" s="1"/>
  <c r="AJ161" i="20" s="1"/>
  <c r="AK176" i="20"/>
  <c r="AK175" i="20" s="1"/>
  <c r="AP176" i="20"/>
  <c r="AP175" i="20" s="1"/>
  <c r="AQ176" i="20"/>
  <c r="AQ175" i="20" s="1"/>
  <c r="AR176" i="20"/>
  <c r="AR175" i="20" s="1"/>
  <c r="AX176" i="20"/>
  <c r="AX175" i="20" s="1"/>
  <c r="AY176" i="20"/>
  <c r="AY175" i="20" s="1"/>
  <c r="J176" i="20"/>
  <c r="J175" i="20" s="1"/>
  <c r="AS174" i="20"/>
  <c r="AO174" i="20"/>
  <c r="AN174" i="20"/>
  <c r="AM174" i="20"/>
  <c r="AH174" i="20"/>
  <c r="AU174" i="20" s="1"/>
  <c r="AT174" i="20" s="1"/>
  <c r="AG174" i="20"/>
  <c r="Q174" i="20"/>
  <c r="P174" i="20"/>
  <c r="K174" i="20"/>
  <c r="K168" i="20" s="1"/>
  <c r="K167" i="20" s="1"/>
  <c r="AS173" i="20"/>
  <c r="AO173" i="20"/>
  <c r="AK173" i="20" s="1"/>
  <c r="AN173" i="20"/>
  <c r="AM173" i="20"/>
  <c r="AL173" i="20"/>
  <c r="AH173" i="20"/>
  <c r="AU173" i="20" s="1"/>
  <c r="AT173" i="20" s="1"/>
  <c r="AG173" i="20"/>
  <c r="R173" i="20"/>
  <c r="Q173" i="20"/>
  <c r="P173" i="20"/>
  <c r="AS172" i="20"/>
  <c r="AO172" i="20"/>
  <c r="AK172" i="20" s="1"/>
  <c r="AN172" i="20"/>
  <c r="AM172" i="20"/>
  <c r="AL172" i="20"/>
  <c r="Q172" i="20"/>
  <c r="P172" i="20"/>
  <c r="K146" i="20"/>
  <c r="L146" i="20"/>
  <c r="M146" i="20"/>
  <c r="N146" i="20"/>
  <c r="S146" i="20"/>
  <c r="T146" i="20"/>
  <c r="T145" i="20" s="1"/>
  <c r="U146" i="20"/>
  <c r="U145" i="20" s="1"/>
  <c r="V146" i="20"/>
  <c r="W146" i="20"/>
  <c r="X146" i="20"/>
  <c r="Y146" i="20"/>
  <c r="Z146" i="20"/>
  <c r="AA146" i="20"/>
  <c r="AB146" i="20"/>
  <c r="AB145" i="20" s="1"/>
  <c r="AC146" i="20"/>
  <c r="AC145" i="20" s="1"/>
  <c r="AE146" i="20"/>
  <c r="AF146" i="20"/>
  <c r="AI146" i="20"/>
  <c r="AJ146" i="20"/>
  <c r="AP146" i="20"/>
  <c r="AQ146" i="20"/>
  <c r="AR146" i="20"/>
  <c r="AR145" i="20" s="1"/>
  <c r="AS147" i="20"/>
  <c r="AO147" i="20"/>
  <c r="AN147" i="20"/>
  <c r="AN146" i="20" s="1"/>
  <c r="AN145" i="20" s="1"/>
  <c r="AM147" i="20"/>
  <c r="AL147" i="20"/>
  <c r="AH147" i="20"/>
  <c r="AU147" i="20" s="1"/>
  <c r="AT147" i="20" s="1"/>
  <c r="AG147" i="20"/>
  <c r="R147" i="20"/>
  <c r="Q147" i="20"/>
  <c r="P147" i="20"/>
  <c r="O147" i="20"/>
  <c r="O146" i="20" s="1"/>
  <c r="K152" i="20"/>
  <c r="K151" i="20" s="1"/>
  <c r="L152" i="20"/>
  <c r="M152" i="20"/>
  <c r="N152" i="20"/>
  <c r="O152" i="20"/>
  <c r="O151" i="20" s="1"/>
  <c r="S152" i="20"/>
  <c r="S151" i="20" s="1"/>
  <c r="S137" i="20" s="1"/>
  <c r="T152" i="20"/>
  <c r="U152" i="20"/>
  <c r="V152" i="20"/>
  <c r="W152" i="20"/>
  <c r="X152" i="20"/>
  <c r="Y152" i="20"/>
  <c r="Y151" i="20" s="1"/>
  <c r="Z152" i="20"/>
  <c r="AA152" i="20"/>
  <c r="AB152" i="20"/>
  <c r="AC152" i="20"/>
  <c r="AD152" i="20"/>
  <c r="AE152" i="20"/>
  <c r="AF152" i="20"/>
  <c r="AI152" i="20"/>
  <c r="AJ152" i="20"/>
  <c r="AP152" i="20"/>
  <c r="AP151" i="20" s="1"/>
  <c r="AQ152" i="20"/>
  <c r="AR152" i="20"/>
  <c r="AS152" i="20"/>
  <c r="AS151" i="20" s="1"/>
  <c r="AT152" i="20"/>
  <c r="AT151" i="20" s="1"/>
  <c r="AU152" i="20"/>
  <c r="AU151" i="20" s="1"/>
  <c r="AV153" i="20"/>
  <c r="AV152" i="20" s="1"/>
  <c r="AV151" i="20" s="1"/>
  <c r="J153" i="20"/>
  <c r="J152" i="20" s="1"/>
  <c r="J151" i="20" s="1"/>
  <c r="AV246" i="20"/>
  <c r="AV208" i="20"/>
  <c r="AV174" i="20"/>
  <c r="AV173" i="20"/>
  <c r="AT129" i="20"/>
  <c r="AU129" i="20"/>
  <c r="K119" i="20"/>
  <c r="K118" i="20" s="1"/>
  <c r="L119" i="20"/>
  <c r="L118" i="20" s="1"/>
  <c r="M119" i="20"/>
  <c r="M118" i="20" s="1"/>
  <c r="N119" i="20"/>
  <c r="O119" i="20"/>
  <c r="O118" i="20" s="1"/>
  <c r="S119" i="20"/>
  <c r="S118" i="20" s="1"/>
  <c r="T119" i="20"/>
  <c r="U119" i="20"/>
  <c r="W119" i="20"/>
  <c r="W118" i="20" s="1"/>
  <c r="X119" i="20"/>
  <c r="X118" i="20" s="1"/>
  <c r="Y119" i="20"/>
  <c r="Y118" i="20" s="1"/>
  <c r="Z119" i="20"/>
  <c r="AA119" i="20"/>
  <c r="AA118" i="20" s="1"/>
  <c r="AB119" i="20"/>
  <c r="AB118" i="20" s="1"/>
  <c r="AC119" i="20"/>
  <c r="AD119" i="20"/>
  <c r="AE119" i="20"/>
  <c r="AF119" i="20"/>
  <c r="AF118" i="20" s="1"/>
  <c r="AI119" i="20"/>
  <c r="AJ119" i="20"/>
  <c r="AP119" i="20"/>
  <c r="AP118" i="20" s="1"/>
  <c r="AQ119" i="20"/>
  <c r="AQ118" i="20" s="1"/>
  <c r="AR119" i="20"/>
  <c r="AX119" i="20"/>
  <c r="AX118" i="20" s="1"/>
  <c r="AY119" i="20"/>
  <c r="AY118" i="20" s="1"/>
  <c r="J119" i="20"/>
  <c r="R89" i="20"/>
  <c r="R88" i="20" s="1"/>
  <c r="K64" i="20"/>
  <c r="L64" i="20"/>
  <c r="M64" i="20"/>
  <c r="N64" i="20"/>
  <c r="O64" i="20"/>
  <c r="S64" i="20"/>
  <c r="T64" i="20"/>
  <c r="U64" i="20"/>
  <c r="V64" i="20"/>
  <c r="X64" i="20"/>
  <c r="Y64" i="20"/>
  <c r="Z64" i="20"/>
  <c r="AB64" i="20"/>
  <c r="AC64" i="20"/>
  <c r="AD64" i="20"/>
  <c r="AE64" i="20"/>
  <c r="AF64" i="20"/>
  <c r="AI64" i="20"/>
  <c r="AJ64" i="20"/>
  <c r="AP64" i="20"/>
  <c r="AQ64" i="20"/>
  <c r="AR64" i="20"/>
  <c r="AX64" i="20"/>
  <c r="AY64" i="20"/>
  <c r="AA65" i="20"/>
  <c r="AA64" i="20" s="1"/>
  <c r="W65" i="20"/>
  <c r="W64" i="20" s="1"/>
  <c r="W61" i="20" s="1"/>
  <c r="K72" i="20"/>
  <c r="L72" i="20"/>
  <c r="L71" i="20" s="1"/>
  <c r="M72" i="20"/>
  <c r="M71" i="20" s="1"/>
  <c r="N72" i="20"/>
  <c r="N71" i="20" s="1"/>
  <c r="O72" i="20"/>
  <c r="O71" i="20" s="1"/>
  <c r="S72" i="20"/>
  <c r="S71" i="20" s="1"/>
  <c r="T72" i="20"/>
  <c r="T71" i="20" s="1"/>
  <c r="U72" i="20"/>
  <c r="V72" i="20"/>
  <c r="W72" i="20"/>
  <c r="W71" i="20" s="1"/>
  <c r="X72" i="20"/>
  <c r="X71" i="20" s="1"/>
  <c r="Y72" i="20"/>
  <c r="Z72" i="20"/>
  <c r="Z71" i="20" s="1"/>
  <c r="AA72" i="20"/>
  <c r="AA71" i="20" s="1"/>
  <c r="AB72" i="20"/>
  <c r="AB71" i="20" s="1"/>
  <c r="AC72" i="20"/>
  <c r="AC71" i="20" s="1"/>
  <c r="AD72" i="20"/>
  <c r="AE72" i="20"/>
  <c r="AF72" i="20"/>
  <c r="AF71" i="20" s="1"/>
  <c r="AI72" i="20"/>
  <c r="AI71" i="20" s="1"/>
  <c r="AJ72" i="20"/>
  <c r="AJ71" i="20" s="1"/>
  <c r="AL72" i="20"/>
  <c r="AL71" i="20" s="1"/>
  <c r="AQ72" i="20"/>
  <c r="AQ71" i="20" s="1"/>
  <c r="AR72" i="20"/>
  <c r="AR71" i="20" s="1"/>
  <c r="AX72" i="20"/>
  <c r="AX71" i="20" s="1"/>
  <c r="AY72" i="20"/>
  <c r="AY71" i="20" s="1"/>
  <c r="AS108" i="20"/>
  <c r="AT108" i="20"/>
  <c r="AU108" i="20"/>
  <c r="AV110" i="20"/>
  <c r="R93" i="20"/>
  <c r="J93" i="20"/>
  <c r="AU382" i="20"/>
  <c r="BA382" i="20"/>
  <c r="AX371" i="20"/>
  <c r="AY371" i="20"/>
  <c r="AY370" i="20" s="1"/>
  <c r="AY358" i="20" s="1"/>
  <c r="K406" i="20"/>
  <c r="L406" i="20"/>
  <c r="M406" i="20"/>
  <c r="N406" i="20"/>
  <c r="O406" i="20"/>
  <c r="R406" i="20"/>
  <c r="S406" i="20"/>
  <c r="T406" i="20"/>
  <c r="U406" i="20"/>
  <c r="V406" i="20"/>
  <c r="W406" i="20"/>
  <c r="X406" i="20"/>
  <c r="Y406" i="20"/>
  <c r="Z406" i="20"/>
  <c r="AA406" i="20"/>
  <c r="AB406" i="20"/>
  <c r="AC406" i="20"/>
  <c r="AD406" i="20"/>
  <c r="AE406" i="20"/>
  <c r="AF406" i="20"/>
  <c r="AI406" i="20"/>
  <c r="AJ406" i="20"/>
  <c r="AP406" i="20"/>
  <c r="AQ406" i="20"/>
  <c r="AR406" i="20"/>
  <c r="AS406" i="20"/>
  <c r="J406" i="20"/>
  <c r="AV408" i="20"/>
  <c r="AU414" i="20"/>
  <c r="AU412" i="20" s="1"/>
  <c r="AV405" i="20"/>
  <c r="AV430" i="20"/>
  <c r="AU430" i="20"/>
  <c r="AV414" i="20"/>
  <c r="AV412" i="20" s="1"/>
  <c r="AV382" i="20"/>
  <c r="AS177" i="20"/>
  <c r="AS176" i="20" s="1"/>
  <c r="AS175" i="20" s="1"/>
  <c r="AS170" i="20"/>
  <c r="AS171" i="20"/>
  <c r="AX163" i="20"/>
  <c r="AX162" i="20" s="1"/>
  <c r="AY163" i="20"/>
  <c r="AY162" i="20" s="1"/>
  <c r="AS149" i="20"/>
  <c r="AV149" i="20"/>
  <c r="AS150" i="20"/>
  <c r="AX146" i="20"/>
  <c r="AX145" i="20" s="1"/>
  <c r="AY146" i="20"/>
  <c r="AY145" i="20" s="1"/>
  <c r="AS148" i="20"/>
  <c r="AX139" i="20"/>
  <c r="AX138" i="20" s="1"/>
  <c r="AY139" i="20"/>
  <c r="AY138" i="20" s="1"/>
  <c r="AX122" i="20"/>
  <c r="AX121" i="20" s="1"/>
  <c r="AY122" i="20"/>
  <c r="AY121" i="20" s="1"/>
  <c r="AS123" i="20"/>
  <c r="AT164" i="20"/>
  <c r="AT163" i="20" s="1"/>
  <c r="AT162" i="20" s="1"/>
  <c r="BA164" i="20"/>
  <c r="AU163" i="20"/>
  <c r="AU162" i="20" s="1"/>
  <c r="AV150" i="20"/>
  <c r="AX101" i="20"/>
  <c r="AX100" i="20" s="1"/>
  <c r="AY101" i="20"/>
  <c r="AY100" i="20" s="1"/>
  <c r="AS103" i="20"/>
  <c r="AS104" i="20"/>
  <c r="AS105" i="20"/>
  <c r="AV105" i="20"/>
  <c r="AS106" i="20"/>
  <c r="AV106" i="20"/>
  <c r="AS102" i="20"/>
  <c r="AG97" i="20"/>
  <c r="V95" i="20"/>
  <c r="AS95" i="20" s="1"/>
  <c r="AH95" i="20"/>
  <c r="AU95" i="20" s="1"/>
  <c r="AT95" i="20" s="1"/>
  <c r="AA89" i="20"/>
  <c r="AA88" i="20" s="1"/>
  <c r="AA95" i="20"/>
  <c r="AA92" i="20" s="1"/>
  <c r="AA91" i="20" s="1"/>
  <c r="AV164" i="20"/>
  <c r="AV163" i="20" s="1"/>
  <c r="AV162" i="20" s="1"/>
  <c r="AH90" i="20"/>
  <c r="AU90" i="20" s="1"/>
  <c r="AT90" i="20" s="1"/>
  <c r="AV90" i="20"/>
  <c r="AX92" i="20"/>
  <c r="AX91" i="20" s="1"/>
  <c r="AY92" i="20"/>
  <c r="AY91" i="20" s="1"/>
  <c r="AS90" i="20"/>
  <c r="AS96" i="20"/>
  <c r="AS98" i="20"/>
  <c r="AS99" i="20"/>
  <c r="AS93" i="20"/>
  <c r="AX86" i="20"/>
  <c r="AX85" i="20" s="1"/>
  <c r="AY86" i="20"/>
  <c r="AY85" i="20" s="1"/>
  <c r="AS78" i="20"/>
  <c r="AS75" i="20"/>
  <c r="AS66" i="20"/>
  <c r="AS67" i="20"/>
  <c r="AS68" i="20"/>
  <c r="AS69" i="20"/>
  <c r="AS70" i="20"/>
  <c r="AV74" i="20"/>
  <c r="AS73" i="20"/>
  <c r="AX62" i="20"/>
  <c r="AY62" i="20"/>
  <c r="AS65" i="20"/>
  <c r="V63" i="20"/>
  <c r="AS63" i="20" s="1"/>
  <c r="AS62" i="20" s="1"/>
  <c r="AT63" i="20"/>
  <c r="AT62" i="20" s="1"/>
  <c r="AV63" i="20"/>
  <c r="AV62" i="20" s="1"/>
  <c r="R430" i="20"/>
  <c r="AI217" i="20"/>
  <c r="AJ217" i="20"/>
  <c r="Q222" i="20"/>
  <c r="P222" i="20"/>
  <c r="P220" i="20" s="1"/>
  <c r="AP74" i="20"/>
  <c r="AU74" i="20" s="1"/>
  <c r="AT74" i="20" s="1"/>
  <c r="AO65" i="20"/>
  <c r="K310" i="20"/>
  <c r="K309" i="20" s="1"/>
  <c r="V310" i="20"/>
  <c r="AS310" i="20" s="1"/>
  <c r="AS309" i="20" s="1"/>
  <c r="AS308" i="20" s="1"/>
  <c r="V302" i="20"/>
  <c r="AS302" i="20" s="1"/>
  <c r="V300" i="20"/>
  <c r="V236" i="20"/>
  <c r="V206" i="20"/>
  <c r="AS206" i="20" s="1"/>
  <c r="V164" i="20"/>
  <c r="AS164" i="20" s="1"/>
  <c r="AS163" i="20" s="1"/>
  <c r="AS162" i="20" s="1"/>
  <c r="V140" i="20"/>
  <c r="AS140" i="20" s="1"/>
  <c r="AS139" i="20" s="1"/>
  <c r="AS138" i="20" s="1"/>
  <c r="V125" i="20"/>
  <c r="AS125" i="20" s="1"/>
  <c r="V126" i="20"/>
  <c r="AS126" i="20" s="1"/>
  <c r="V127" i="20"/>
  <c r="AS127" i="20" s="1"/>
  <c r="V128" i="20"/>
  <c r="AS128" i="20" s="1"/>
  <c r="V124" i="20"/>
  <c r="AS124" i="20" s="1"/>
  <c r="V120" i="20"/>
  <c r="AS120" i="20" s="1"/>
  <c r="AS119" i="20" s="1"/>
  <c r="AS118" i="20" s="1"/>
  <c r="V94" i="20"/>
  <c r="AS94" i="20" s="1"/>
  <c r="V89" i="20"/>
  <c r="AS89" i="20" s="1"/>
  <c r="AS88" i="20" s="1"/>
  <c r="V364" i="20"/>
  <c r="AS364" i="20" s="1"/>
  <c r="V363" i="20"/>
  <c r="AS363" i="20" s="1"/>
  <c r="V374" i="20"/>
  <c r="AS374" i="20" s="1"/>
  <c r="V87" i="20"/>
  <c r="AS87" i="20" s="1"/>
  <c r="AS86" i="20" s="1"/>
  <c r="AS85" i="20" s="1"/>
  <c r="AO411" i="20"/>
  <c r="AO330" i="20"/>
  <c r="AO289" i="20"/>
  <c r="AO290" i="20"/>
  <c r="AO245" i="20"/>
  <c r="AO153" i="20"/>
  <c r="AK153" i="20" s="1"/>
  <c r="AK152" i="20" s="1"/>
  <c r="AK151" i="20" s="1"/>
  <c r="AO123" i="20"/>
  <c r="AK123" i="20" s="1"/>
  <c r="AO94" i="20"/>
  <c r="AP457" i="20"/>
  <c r="AP286" i="20"/>
  <c r="AI48" i="20"/>
  <c r="AJ48" i="20"/>
  <c r="AP48" i="20"/>
  <c r="AQ48" i="20"/>
  <c r="AR48" i="20"/>
  <c r="AI457" i="20"/>
  <c r="AJ457" i="20"/>
  <c r="AQ457" i="20"/>
  <c r="AR457" i="20"/>
  <c r="Q221" i="20"/>
  <c r="K299" i="20"/>
  <c r="L299" i="20"/>
  <c r="L298" i="20" s="1"/>
  <c r="M299" i="20"/>
  <c r="N299" i="20"/>
  <c r="N298" i="20" s="1"/>
  <c r="O299" i="20"/>
  <c r="R299" i="20"/>
  <c r="S299" i="20"/>
  <c r="T299" i="20"/>
  <c r="T298" i="20" s="1"/>
  <c r="U299" i="20"/>
  <c r="W299" i="20"/>
  <c r="X299" i="20"/>
  <c r="Y299" i="20"/>
  <c r="Z299" i="20"/>
  <c r="AA299" i="20"/>
  <c r="AB299" i="20"/>
  <c r="AC299" i="20"/>
  <c r="AC298" i="20" s="1"/>
  <c r="AD299" i="20"/>
  <c r="AE299" i="20"/>
  <c r="AE298" i="20" s="1"/>
  <c r="AF299" i="20"/>
  <c r="AI299" i="20"/>
  <c r="AJ299" i="20"/>
  <c r="AQ299" i="20"/>
  <c r="AR299" i="20"/>
  <c r="AO307" i="20"/>
  <c r="J307" i="20"/>
  <c r="J299" i="20" s="1"/>
  <c r="AP247" i="20"/>
  <c r="AG74" i="20"/>
  <c r="R74" i="20"/>
  <c r="R72" i="20" s="1"/>
  <c r="R71" i="20" s="1"/>
  <c r="AH236" i="20"/>
  <c r="L238" i="20"/>
  <c r="M238" i="20"/>
  <c r="O238" i="20"/>
  <c r="O237" i="20" s="1"/>
  <c r="T238" i="20"/>
  <c r="U238" i="20"/>
  <c r="U237" i="20" s="1"/>
  <c r="W238" i="20"/>
  <c r="X238" i="20"/>
  <c r="X237" i="20" s="1"/>
  <c r="Y238" i="20"/>
  <c r="Z238" i="20"/>
  <c r="AA238" i="20"/>
  <c r="AB238" i="20"/>
  <c r="AB237" i="20" s="1"/>
  <c r="AC238" i="20"/>
  <c r="AD238" i="20"/>
  <c r="AD237" i="20" s="1"/>
  <c r="AE238" i="20"/>
  <c r="AF238" i="20"/>
  <c r="AF237" i="20" s="1"/>
  <c r="AI238" i="20"/>
  <c r="AJ238" i="20"/>
  <c r="AR238" i="20"/>
  <c r="AR237" i="20" s="1"/>
  <c r="AQ247" i="20"/>
  <c r="AF247" i="20"/>
  <c r="AE247" i="20"/>
  <c r="AD247" i="20"/>
  <c r="AC247" i="20"/>
  <c r="AB247" i="20"/>
  <c r="AA247" i="20"/>
  <c r="Z247" i="20"/>
  <c r="Y247" i="20"/>
  <c r="X247" i="20"/>
  <c r="W247" i="20"/>
  <c r="V247" i="20"/>
  <c r="U247" i="20"/>
  <c r="T247" i="20"/>
  <c r="S247" i="20"/>
  <c r="R247" i="20"/>
  <c r="O247" i="20"/>
  <c r="N247" i="20"/>
  <c r="M247" i="20"/>
  <c r="L247" i="20"/>
  <c r="K247" i="20"/>
  <c r="J235" i="20"/>
  <c r="J163" i="20"/>
  <c r="J142" i="20"/>
  <c r="K139" i="20"/>
  <c r="K138" i="20" s="1"/>
  <c r="L139" i="20"/>
  <c r="L138" i="20" s="1"/>
  <c r="M139" i="20"/>
  <c r="M138" i="20" s="1"/>
  <c r="N139" i="20"/>
  <c r="N138" i="20" s="1"/>
  <c r="O139" i="20"/>
  <c r="O138" i="20" s="1"/>
  <c r="R139" i="20"/>
  <c r="R138" i="20" s="1"/>
  <c r="S139" i="20"/>
  <c r="S138" i="20" s="1"/>
  <c r="T139" i="20"/>
  <c r="T138" i="20" s="1"/>
  <c r="U139" i="20"/>
  <c r="U138" i="20" s="1"/>
  <c r="W139" i="20"/>
  <c r="W138" i="20" s="1"/>
  <c r="X139" i="20"/>
  <c r="X138" i="20" s="1"/>
  <c r="Y139" i="20"/>
  <c r="Y138" i="20" s="1"/>
  <c r="Z139" i="20"/>
  <c r="Z138" i="20" s="1"/>
  <c r="AA139" i="20"/>
  <c r="AA138" i="20" s="1"/>
  <c r="AC139" i="20"/>
  <c r="AC138" i="20" s="1"/>
  <c r="AD139" i="20"/>
  <c r="AD138" i="20" s="1"/>
  <c r="AE139" i="20"/>
  <c r="AE138" i="20" s="1"/>
  <c r="AF139" i="20"/>
  <c r="AF138" i="20" s="1"/>
  <c r="AI139" i="20"/>
  <c r="AI138" i="20" s="1"/>
  <c r="AJ139" i="20"/>
  <c r="AJ138" i="20" s="1"/>
  <c r="AP139" i="20"/>
  <c r="AP138" i="20" s="1"/>
  <c r="AQ139" i="20"/>
  <c r="AQ138" i="20" s="1"/>
  <c r="AR139" i="20"/>
  <c r="AR138" i="20" s="1"/>
  <c r="J139" i="20"/>
  <c r="J138" i="20" s="1"/>
  <c r="J122" i="20"/>
  <c r="J121" i="20" s="1"/>
  <c r="K101" i="20"/>
  <c r="L101" i="20"/>
  <c r="L100" i="20" s="1"/>
  <c r="M101" i="20"/>
  <c r="N101" i="20"/>
  <c r="N100" i="20" s="1"/>
  <c r="O101" i="20"/>
  <c r="O100" i="20" s="1"/>
  <c r="T101" i="20"/>
  <c r="U101" i="20"/>
  <c r="V101" i="20"/>
  <c r="V100" i="20" s="1"/>
  <c r="W101" i="20"/>
  <c r="X101" i="20"/>
  <c r="X100" i="20" s="1"/>
  <c r="Y101" i="20"/>
  <c r="Z101" i="20"/>
  <c r="Z100" i="20" s="1"/>
  <c r="AA101" i="20"/>
  <c r="AB101" i="20"/>
  <c r="AC101" i="20"/>
  <c r="AD101" i="20"/>
  <c r="AD100" i="20" s="1"/>
  <c r="AE101" i="20"/>
  <c r="AF101" i="20"/>
  <c r="AF100" i="20" s="1"/>
  <c r="AI101" i="20"/>
  <c r="AJ101" i="20"/>
  <c r="AP101" i="20"/>
  <c r="AP100" i="20" s="1"/>
  <c r="AQ101" i="20"/>
  <c r="AQ100" i="20" s="1"/>
  <c r="AR101" i="20"/>
  <c r="K92" i="20"/>
  <c r="K91" i="20" s="1"/>
  <c r="L92" i="20"/>
  <c r="M92" i="20"/>
  <c r="M91" i="20" s="1"/>
  <c r="N92" i="20"/>
  <c r="O92" i="20"/>
  <c r="O91" i="20" s="1"/>
  <c r="S92" i="20"/>
  <c r="T92" i="20"/>
  <c r="U92" i="20"/>
  <c r="W92" i="20"/>
  <c r="W91" i="20" s="1"/>
  <c r="X92" i="20"/>
  <c r="Y92" i="20"/>
  <c r="Y91" i="20" s="1"/>
  <c r="Z92" i="20"/>
  <c r="AB92" i="20"/>
  <c r="AB91" i="20" s="1"/>
  <c r="AC92" i="20"/>
  <c r="AD92" i="20"/>
  <c r="AE92" i="20"/>
  <c r="AF92" i="20"/>
  <c r="AF91" i="20" s="1"/>
  <c r="AI92" i="20"/>
  <c r="AJ92" i="20"/>
  <c r="AQ92" i="20"/>
  <c r="AR92" i="20"/>
  <c r="AR91" i="20" s="1"/>
  <c r="J88" i="20"/>
  <c r="J86" i="20"/>
  <c r="J85" i="20" s="1"/>
  <c r="K71" i="20"/>
  <c r="U71" i="20"/>
  <c r="Y71" i="20"/>
  <c r="AD71" i="20"/>
  <c r="AE71" i="20"/>
  <c r="AO382" i="20"/>
  <c r="AT382" i="20" s="1"/>
  <c r="R382" i="20"/>
  <c r="BA379" i="20"/>
  <c r="K371" i="20"/>
  <c r="L371" i="20"/>
  <c r="L370" i="20" s="1"/>
  <c r="M371" i="20"/>
  <c r="N371" i="20"/>
  <c r="O371" i="20"/>
  <c r="R371" i="20"/>
  <c r="S371" i="20"/>
  <c r="T371" i="20"/>
  <c r="T370" i="20" s="1"/>
  <c r="U371" i="20"/>
  <c r="W371" i="20"/>
  <c r="W370" i="20" s="1"/>
  <c r="X371" i="20"/>
  <c r="Y371" i="20"/>
  <c r="Z371" i="20"/>
  <c r="AA371" i="20"/>
  <c r="AB371" i="20"/>
  <c r="AC371" i="20"/>
  <c r="AC370" i="20" s="1"/>
  <c r="AD371" i="20"/>
  <c r="AE371" i="20"/>
  <c r="AF371" i="20"/>
  <c r="AI371" i="20"/>
  <c r="AJ371" i="20"/>
  <c r="AQ371" i="20"/>
  <c r="AQ370" i="20" s="1"/>
  <c r="AR371" i="20"/>
  <c r="AO374" i="20"/>
  <c r="AK374" i="20" s="1"/>
  <c r="AN374" i="20"/>
  <c r="AM374" i="20"/>
  <c r="AL374" i="20"/>
  <c r="AH374" i="20"/>
  <c r="AU374" i="20" s="1"/>
  <c r="AG374" i="20"/>
  <c r="Q374" i="20"/>
  <c r="P374" i="20"/>
  <c r="AV374" i="20"/>
  <c r="BA374" i="20"/>
  <c r="S286" i="20"/>
  <c r="S285" i="20" s="1"/>
  <c r="S284" i="20" s="1"/>
  <c r="T286" i="20"/>
  <c r="U286" i="20"/>
  <c r="V286" i="20"/>
  <c r="V285" i="20" s="1"/>
  <c r="V284" i="20" s="1"/>
  <c r="W286" i="20"/>
  <c r="X286" i="20"/>
  <c r="Y286" i="20"/>
  <c r="Y285" i="20" s="1"/>
  <c r="Y284" i="20" s="1"/>
  <c r="Z286" i="20"/>
  <c r="Z285" i="20" s="1"/>
  <c r="Z284" i="20" s="1"/>
  <c r="AA286" i="20"/>
  <c r="AA285" i="20" s="1"/>
  <c r="AA284" i="20" s="1"/>
  <c r="AB286" i="20"/>
  <c r="AC286" i="20"/>
  <c r="AD286" i="20"/>
  <c r="AE286" i="20"/>
  <c r="AE285" i="20" s="1"/>
  <c r="AE284" i="20" s="1"/>
  <c r="AF286" i="20"/>
  <c r="AI286" i="20"/>
  <c r="AJ286" i="20"/>
  <c r="AQ286" i="20"/>
  <c r="AQ285" i="20" s="1"/>
  <c r="AQ284" i="20" s="1"/>
  <c r="AR286" i="20"/>
  <c r="AR285" i="20" s="1"/>
  <c r="AR284" i="20" s="1"/>
  <c r="AO288" i="20"/>
  <c r="AO287" i="20"/>
  <c r="AO66" i="20"/>
  <c r="AK66" i="20" s="1"/>
  <c r="AO319" i="20"/>
  <c r="AO177" i="20"/>
  <c r="AO176" i="20" s="1"/>
  <c r="AO53" i="20"/>
  <c r="AO313" i="20"/>
  <c r="R310" i="20"/>
  <c r="R309" i="20" s="1"/>
  <c r="AO314" i="20"/>
  <c r="AK314" i="20" s="1"/>
  <c r="K163" i="20"/>
  <c r="L163" i="20"/>
  <c r="L162" i="20" s="1"/>
  <c r="M163" i="20"/>
  <c r="M162" i="20" s="1"/>
  <c r="N163" i="20"/>
  <c r="O163" i="20"/>
  <c r="O162" i="20" s="1"/>
  <c r="P163" i="20"/>
  <c r="Q163" i="20"/>
  <c r="S163" i="20"/>
  <c r="S162" i="20" s="1"/>
  <c r="T163" i="20"/>
  <c r="U163" i="20"/>
  <c r="U162" i="20" s="1"/>
  <c r="V163" i="20"/>
  <c r="V162" i="20" s="1"/>
  <c r="W163" i="20"/>
  <c r="W162" i="20" s="1"/>
  <c r="X163" i="20"/>
  <c r="X162" i="20" s="1"/>
  <c r="Y163" i="20"/>
  <c r="Z163" i="20"/>
  <c r="AA163" i="20"/>
  <c r="AB163" i="20"/>
  <c r="AB162" i="20" s="1"/>
  <c r="AC163" i="20"/>
  <c r="AC162" i="20" s="1"/>
  <c r="AD163" i="20"/>
  <c r="AE163" i="20"/>
  <c r="AE162" i="20" s="1"/>
  <c r="AF163" i="20"/>
  <c r="AF162" i="20" s="1"/>
  <c r="AG163" i="20"/>
  <c r="AH163" i="20"/>
  <c r="AI163" i="20"/>
  <c r="AJ163" i="20"/>
  <c r="AK163" i="20"/>
  <c r="AL163" i="20"/>
  <c r="AM163" i="20"/>
  <c r="AN163" i="20"/>
  <c r="AN162" i="20" s="1"/>
  <c r="AP163" i="20"/>
  <c r="AQ163" i="20"/>
  <c r="AR163" i="20"/>
  <c r="AO164" i="20"/>
  <c r="AO163" i="20" s="1"/>
  <c r="R164" i="20"/>
  <c r="R163" i="20" s="1"/>
  <c r="R162" i="20" s="1"/>
  <c r="AO248" i="20"/>
  <c r="AK248" i="20" s="1"/>
  <c r="AK247" i="20" s="1"/>
  <c r="AN248" i="20"/>
  <c r="AN247" i="20" s="1"/>
  <c r="AM248" i="20"/>
  <c r="AM247" i="20" s="1"/>
  <c r="AL248" i="20"/>
  <c r="AL247" i="20" s="1"/>
  <c r="AH248" i="20"/>
  <c r="AH247" i="20" s="1"/>
  <c r="AG248" i="20"/>
  <c r="AG247" i="20" s="1"/>
  <c r="Q248" i="20"/>
  <c r="Q247" i="20" s="1"/>
  <c r="P248" i="20"/>
  <c r="P247" i="20" s="1"/>
  <c r="J248" i="20"/>
  <c r="J247" i="20" s="1"/>
  <c r="AO244" i="20"/>
  <c r="AK244" i="20" s="1"/>
  <c r="AO243" i="20"/>
  <c r="AK243" i="20" s="1"/>
  <c r="AO242" i="20"/>
  <c r="AO241" i="20"/>
  <c r="AO240" i="20"/>
  <c r="AO206" i="20"/>
  <c r="AV248" i="20"/>
  <c r="AV247" i="20" s="1"/>
  <c r="AP108" i="20"/>
  <c r="S43" i="20"/>
  <c r="S42" i="20" s="1"/>
  <c r="V43" i="20"/>
  <c r="V42" i="20" s="1"/>
  <c r="AE413" i="20"/>
  <c r="AA413" i="20"/>
  <c r="AO373" i="20"/>
  <c r="V329" i="20"/>
  <c r="V328" i="20" s="1"/>
  <c r="V327" i="20" s="1"/>
  <c r="AO302" i="20"/>
  <c r="AK302" i="20" s="1"/>
  <c r="V246" i="20"/>
  <c r="AS246" i="20" s="1"/>
  <c r="V245" i="20"/>
  <c r="AS245" i="20" s="1"/>
  <c r="V243" i="20"/>
  <c r="AS243" i="20" s="1"/>
  <c r="V242" i="20"/>
  <c r="AS242" i="20" s="1"/>
  <c r="V241" i="20"/>
  <c r="AS241" i="20" s="1"/>
  <c r="V240" i="20"/>
  <c r="AS240" i="20" s="1"/>
  <c r="V235" i="20"/>
  <c r="V234" i="20" s="1"/>
  <c r="W170" i="20"/>
  <c r="W168" i="20" s="1"/>
  <c r="W167" i="20" s="1"/>
  <c r="V151" i="20"/>
  <c r="V145" i="20"/>
  <c r="V108" i="20"/>
  <c r="V71" i="20"/>
  <c r="V167" i="20"/>
  <c r="AO45" i="20"/>
  <c r="AG44" i="20"/>
  <c r="AO271" i="20"/>
  <c r="AK271" i="20" s="1"/>
  <c r="R312" i="20"/>
  <c r="K312" i="20"/>
  <c r="AB48" i="20"/>
  <c r="AC48" i="20"/>
  <c r="AD48" i="20"/>
  <c r="AE48" i="20"/>
  <c r="AF48" i="20"/>
  <c r="AA48" i="20"/>
  <c r="AO51" i="20"/>
  <c r="AK51" i="20" s="1"/>
  <c r="AN51" i="20"/>
  <c r="AM51" i="20"/>
  <c r="AL51" i="20"/>
  <c r="AH51" i="20"/>
  <c r="AG51" i="20"/>
  <c r="Q51" i="20"/>
  <c r="P51" i="20"/>
  <c r="AO50" i="20"/>
  <c r="AK50" i="20" s="1"/>
  <c r="AN50" i="20"/>
  <c r="AM50" i="20"/>
  <c r="AL50" i="20"/>
  <c r="AH50" i="20"/>
  <c r="AG50" i="20"/>
  <c r="Q50" i="20"/>
  <c r="P50" i="20"/>
  <c r="AO49" i="20"/>
  <c r="AN49" i="20"/>
  <c r="AM49" i="20"/>
  <c r="AL49" i="20"/>
  <c r="AH49" i="20"/>
  <c r="AG49" i="20"/>
  <c r="Q49" i="20"/>
  <c r="P49" i="20"/>
  <c r="AO460" i="20"/>
  <c r="AO459" i="20"/>
  <c r="AH459" i="20"/>
  <c r="AO458" i="20"/>
  <c r="AK458" i="20" s="1"/>
  <c r="AO414" i="20"/>
  <c r="AT414" i="20" s="1"/>
  <c r="AT412" i="20" s="1"/>
  <c r="R414" i="20"/>
  <c r="R412" i="20" s="1"/>
  <c r="R410" i="20" s="1"/>
  <c r="AB457" i="20"/>
  <c r="AC457" i="20"/>
  <c r="AD457" i="20"/>
  <c r="AE457" i="20"/>
  <c r="AF457" i="20"/>
  <c r="AA457" i="20"/>
  <c r="AO467" i="20"/>
  <c r="R243" i="20"/>
  <c r="R244" i="20"/>
  <c r="R245" i="20"/>
  <c r="AO246" i="20"/>
  <c r="AK246" i="20" s="1"/>
  <c r="AO430" i="20"/>
  <c r="AT430" i="20" s="1"/>
  <c r="R171" i="20"/>
  <c r="AK169" i="20"/>
  <c r="AO150" i="20"/>
  <c r="R150" i="20"/>
  <c r="AO148" i="20"/>
  <c r="AK148" i="20" s="1"/>
  <c r="AO128" i="20"/>
  <c r="AO127" i="20"/>
  <c r="AK127" i="20" s="1"/>
  <c r="AO126" i="20"/>
  <c r="AK126" i="20" s="1"/>
  <c r="AO125" i="20"/>
  <c r="AK125" i="20"/>
  <c r="AO124" i="20"/>
  <c r="AK124" i="20"/>
  <c r="AO97" i="20"/>
  <c r="AK97" i="20" s="1"/>
  <c r="AO110" i="20"/>
  <c r="AO109" i="20" s="1"/>
  <c r="R110" i="20"/>
  <c r="R109" i="20" s="1"/>
  <c r="R108" i="20" s="1"/>
  <c r="AN110" i="20"/>
  <c r="AN109" i="20" s="1"/>
  <c r="AN108" i="20" s="1"/>
  <c r="AM110" i="20"/>
  <c r="AM109" i="20" s="1"/>
  <c r="AL110" i="20"/>
  <c r="AL109" i="20" s="1"/>
  <c r="AL108" i="20" s="1"/>
  <c r="AH110" i="20"/>
  <c r="AH109" i="20" s="1"/>
  <c r="AH108" i="20" s="1"/>
  <c r="AG110" i="20"/>
  <c r="AG109" i="20" s="1"/>
  <c r="AG108" i="20" s="1"/>
  <c r="Q110" i="20"/>
  <c r="Q109" i="20" s="1"/>
  <c r="P110" i="20"/>
  <c r="P109" i="20" s="1"/>
  <c r="AL105" i="20"/>
  <c r="AO105" i="20"/>
  <c r="AK105" i="20" s="1"/>
  <c r="AO104" i="20"/>
  <c r="AL99" i="20"/>
  <c r="AK99" i="20" s="1"/>
  <c r="AO102" i="20"/>
  <c r="AG102" i="20"/>
  <c r="AO99" i="20"/>
  <c r="AK98" i="20"/>
  <c r="AO95" i="20"/>
  <c r="AL95" i="20" s="1"/>
  <c r="AK95" i="20" s="1"/>
  <c r="J94" i="20"/>
  <c r="J92" i="20" s="1"/>
  <c r="J91" i="20" s="1"/>
  <c r="AL90" i="20"/>
  <c r="AO89" i="20"/>
  <c r="AO88" i="20" s="1"/>
  <c r="AK73" i="20"/>
  <c r="R65" i="20"/>
  <c r="J65" i="20"/>
  <c r="J64" i="20" s="1"/>
  <c r="AK75" i="20"/>
  <c r="J75" i="20"/>
  <c r="J72" i="20" s="1"/>
  <c r="J71" i="20" s="1"/>
  <c r="R69" i="20"/>
  <c r="R70" i="20"/>
  <c r="R68" i="20"/>
  <c r="AO47" i="20"/>
  <c r="AO46" i="20"/>
  <c r="J105" i="20"/>
  <c r="E68" i="21"/>
  <c r="E54" i="21"/>
  <c r="E53" i="21"/>
  <c r="K52" i="21"/>
  <c r="F52" i="21"/>
  <c r="G52" i="21" s="1"/>
  <c r="H52" i="21" s="1"/>
  <c r="I52" i="21" s="1"/>
  <c r="L51" i="21"/>
  <c r="F51" i="21"/>
  <c r="G51" i="21"/>
  <c r="H51" i="21" s="1"/>
  <c r="I51" i="21" s="1"/>
  <c r="E50" i="21"/>
  <c r="F49" i="21"/>
  <c r="G49" i="21" s="1"/>
  <c r="J48" i="21"/>
  <c r="F48" i="21"/>
  <c r="G48" i="21"/>
  <c r="L47" i="21"/>
  <c r="L50" i="21" s="1"/>
  <c r="O50" i="21" s="1"/>
  <c r="F47" i="21"/>
  <c r="G47" i="21" s="1"/>
  <c r="E46" i="21"/>
  <c r="E43" i="21"/>
  <c r="N42" i="21"/>
  <c r="N41" i="21" s="1"/>
  <c r="M42" i="21"/>
  <c r="M41" i="21" s="1"/>
  <c r="J42" i="21"/>
  <c r="J41" i="21" s="1"/>
  <c r="I42" i="21"/>
  <c r="I41" i="21" s="1"/>
  <c r="H42" i="21"/>
  <c r="H41" i="21" s="1"/>
  <c r="F42" i="21"/>
  <c r="D41" i="21"/>
  <c r="E40" i="21"/>
  <c r="E39" i="21"/>
  <c r="E38" i="21"/>
  <c r="O37" i="21"/>
  <c r="O36" i="21" s="1"/>
  <c r="N37" i="21"/>
  <c r="N36" i="21" s="1"/>
  <c r="M37" i="21"/>
  <c r="M36" i="21" s="1"/>
  <c r="L37" i="21"/>
  <c r="L36" i="21" s="1"/>
  <c r="K37" i="21"/>
  <c r="K36" i="21" s="1"/>
  <c r="J37" i="21"/>
  <c r="J36" i="21" s="1"/>
  <c r="I37" i="21"/>
  <c r="I36" i="21" s="1"/>
  <c r="H37" i="21"/>
  <c r="H36" i="21" s="1"/>
  <c r="G37" i="21"/>
  <c r="G36" i="21" s="1"/>
  <c r="F37" i="21"/>
  <c r="F36" i="21" s="1"/>
  <c r="O35" i="21"/>
  <c r="O29" i="21" s="1"/>
  <c r="N35" i="21"/>
  <c r="N29" i="21" s="1"/>
  <c r="M35" i="21"/>
  <c r="M29" i="21" s="1"/>
  <c r="L35" i="21"/>
  <c r="L29" i="21" s="1"/>
  <c r="K35" i="21"/>
  <c r="K29" i="21" s="1"/>
  <c r="J35" i="21"/>
  <c r="J29" i="21" s="1"/>
  <c r="I35" i="21"/>
  <c r="I29" i="21" s="1"/>
  <c r="H35" i="21"/>
  <c r="H29" i="21" s="1"/>
  <c r="F35" i="21"/>
  <c r="F29" i="21" s="1"/>
  <c r="D35" i="21"/>
  <c r="D29" i="21" s="1"/>
  <c r="Q34" i="21"/>
  <c r="P34" i="21"/>
  <c r="G34" i="21"/>
  <c r="G35" i="21" s="1"/>
  <c r="E30" i="21"/>
  <c r="O24" i="21"/>
  <c r="O20" i="21"/>
  <c r="O19" i="21" s="1"/>
  <c r="N24" i="21"/>
  <c r="N20" i="21" s="1"/>
  <c r="N19" i="21" s="1"/>
  <c r="M24" i="21"/>
  <c r="M20" i="21"/>
  <c r="M19" i="21" s="1"/>
  <c r="L24" i="21"/>
  <c r="L20" i="21" s="1"/>
  <c r="L19" i="21" s="1"/>
  <c r="K24" i="21"/>
  <c r="K20" i="21"/>
  <c r="K19" i="21" s="1"/>
  <c r="J24" i="21"/>
  <c r="J20" i="21" s="1"/>
  <c r="J19" i="21" s="1"/>
  <c r="I24" i="21"/>
  <c r="H24" i="21"/>
  <c r="H20" i="21" s="1"/>
  <c r="H19" i="21" s="1"/>
  <c r="G24" i="21"/>
  <c r="G20" i="21"/>
  <c r="G19" i="21" s="1"/>
  <c r="F24" i="21"/>
  <c r="E24" i="21" s="1"/>
  <c r="E22" i="21"/>
  <c r="S20" i="21"/>
  <c r="Q20" i="21"/>
  <c r="P20" i="21"/>
  <c r="I20" i="21"/>
  <c r="I19" i="21" s="1"/>
  <c r="D19" i="21"/>
  <c r="O17" i="21"/>
  <c r="N17" i="21"/>
  <c r="M17" i="21"/>
  <c r="L17" i="21"/>
  <c r="K17" i="21"/>
  <c r="J17" i="21"/>
  <c r="I17" i="21"/>
  <c r="H17" i="21"/>
  <c r="G17" i="21"/>
  <c r="F17" i="21"/>
  <c r="E14" i="21"/>
  <c r="E17" i="21" s="1"/>
  <c r="E11" i="21"/>
  <c r="D13" i="21" s="1"/>
  <c r="F50" i="21"/>
  <c r="K53" i="21"/>
  <c r="K50" i="21"/>
  <c r="K55" i="21" s="1"/>
  <c r="K56" i="21" s="1"/>
  <c r="F41" i="21"/>
  <c r="H48" i="21"/>
  <c r="F54" i="21"/>
  <c r="G54" i="21" s="1"/>
  <c r="G50" i="21"/>
  <c r="H50" i="21" s="1"/>
  <c r="I50" i="21" s="1"/>
  <c r="J50" i="21" s="1"/>
  <c r="I48" i="21"/>
  <c r="R103" i="20"/>
  <c r="S101" i="20"/>
  <c r="S100" i="20" s="1"/>
  <c r="R105" i="20"/>
  <c r="R104" i="20"/>
  <c r="J104" i="20"/>
  <c r="AP232" i="20"/>
  <c r="AO90" i="20"/>
  <c r="R365" i="20"/>
  <c r="R241" i="20"/>
  <c r="R240" i="20"/>
  <c r="R236" i="20"/>
  <c r="R235" i="20" s="1"/>
  <c r="R234" i="20" s="1"/>
  <c r="R206" i="20"/>
  <c r="R170" i="20"/>
  <c r="R169" i="20"/>
  <c r="R149" i="20"/>
  <c r="J150" i="20"/>
  <c r="J146" i="20" s="1"/>
  <c r="J145" i="20" s="1"/>
  <c r="R148" i="20"/>
  <c r="R127" i="20"/>
  <c r="R126" i="20"/>
  <c r="R125" i="20"/>
  <c r="R124" i="20"/>
  <c r="R120" i="20"/>
  <c r="R119" i="20" s="1"/>
  <c r="R118" i="20" s="1"/>
  <c r="AO75" i="20"/>
  <c r="AN75" i="20"/>
  <c r="AM75" i="20"/>
  <c r="AH75" i="20"/>
  <c r="AU75" i="20" s="1"/>
  <c r="AT75" i="20" s="1"/>
  <c r="AG75" i="20"/>
  <c r="Q75" i="20"/>
  <c r="P75" i="20"/>
  <c r="R96" i="20"/>
  <c r="R95" i="20"/>
  <c r="R94" i="20"/>
  <c r="R90" i="20"/>
  <c r="AK106" i="20"/>
  <c r="AO103" i="20"/>
  <c r="AN103" i="20"/>
  <c r="AM103" i="20"/>
  <c r="AL103" i="20"/>
  <c r="AG103" i="20"/>
  <c r="Q103" i="20"/>
  <c r="P103" i="20"/>
  <c r="AV75" i="20"/>
  <c r="AK103" i="20"/>
  <c r="AK63" i="20"/>
  <c r="AJ63" i="20"/>
  <c r="AI63" i="20" s="1"/>
  <c r="AI62" i="20" s="1"/>
  <c r="AI61" i="20" s="1"/>
  <c r="R63" i="20"/>
  <c r="R62" i="20" s="1"/>
  <c r="AO365" i="20"/>
  <c r="K315" i="20"/>
  <c r="L315" i="20"/>
  <c r="M315" i="20"/>
  <c r="N315" i="20"/>
  <c r="AN105" i="20"/>
  <c r="AM105" i="20"/>
  <c r="AH105" i="20"/>
  <c r="AU105" i="20" s="1"/>
  <c r="AT105" i="20" s="1"/>
  <c r="AG105" i="20"/>
  <c r="Q105" i="20"/>
  <c r="P105" i="20"/>
  <c r="AL177" i="20"/>
  <c r="AL176" i="20" s="1"/>
  <c r="AL175" i="20" s="1"/>
  <c r="AP252" i="20"/>
  <c r="AP249" i="20" s="1"/>
  <c r="AP239" i="20"/>
  <c r="AS239" i="20" s="1"/>
  <c r="AP169" i="20"/>
  <c r="AS169" i="20" s="1"/>
  <c r="AO312" i="20"/>
  <c r="AL236" i="20"/>
  <c r="AL235" i="20" s="1"/>
  <c r="AL234" i="20" s="1"/>
  <c r="AO149" i="20"/>
  <c r="AP92" i="20"/>
  <c r="AP91" i="20" s="1"/>
  <c r="AK94" i="20"/>
  <c r="AH47" i="20"/>
  <c r="AG47" i="20" s="1"/>
  <c r="AL244" i="20"/>
  <c r="AL243" i="20"/>
  <c r="AL242" i="20"/>
  <c r="AL241" i="20"/>
  <c r="AL240" i="20"/>
  <c r="T404" i="20"/>
  <c r="T403" i="20" s="1"/>
  <c r="T400" i="20" s="1"/>
  <c r="T399" i="20" s="1"/>
  <c r="AL313" i="20"/>
  <c r="AL314" i="20"/>
  <c r="AL312" i="20"/>
  <c r="AL271" i="20"/>
  <c r="K122" i="20"/>
  <c r="K121" i="20" s="1"/>
  <c r="L122" i="20"/>
  <c r="L121" i="20" s="1"/>
  <c r="M122" i="20"/>
  <c r="M121" i="20" s="1"/>
  <c r="N122" i="20"/>
  <c r="N121" i="20" s="1"/>
  <c r="O122" i="20"/>
  <c r="O121" i="20" s="1"/>
  <c r="T122" i="20"/>
  <c r="T121" i="20" s="1"/>
  <c r="U122" i="20"/>
  <c r="W122" i="20"/>
  <c r="W121" i="20" s="1"/>
  <c r="X122" i="20"/>
  <c r="X121" i="20" s="1"/>
  <c r="Y122" i="20"/>
  <c r="Y121" i="20" s="1"/>
  <c r="Z122" i="20"/>
  <c r="AA122" i="20"/>
  <c r="AA121" i="20" s="1"/>
  <c r="AB122" i="20"/>
  <c r="AB121" i="20" s="1"/>
  <c r="AC122" i="20"/>
  <c r="AD122" i="20"/>
  <c r="AD121" i="20" s="1"/>
  <c r="AE122" i="20"/>
  <c r="AE121" i="20" s="1"/>
  <c r="AF122" i="20"/>
  <c r="AF121" i="20" s="1"/>
  <c r="AQ122" i="20"/>
  <c r="AQ121" i="20" s="1"/>
  <c r="AR122" i="20"/>
  <c r="AR121" i="20" s="1"/>
  <c r="AP122" i="20"/>
  <c r="AP121" i="20" s="1"/>
  <c r="L151" i="20"/>
  <c r="M151" i="20"/>
  <c r="N151" i="20"/>
  <c r="T151" i="20"/>
  <c r="U151" i="20"/>
  <c r="W151" i="20"/>
  <c r="X151" i="20"/>
  <c r="Z151" i="20"/>
  <c r="AA151" i="20"/>
  <c r="AB151" i="20"/>
  <c r="AC151" i="20"/>
  <c r="AD151" i="20"/>
  <c r="AE151" i="20"/>
  <c r="AF151" i="20"/>
  <c r="AQ151" i="20"/>
  <c r="AR151" i="20"/>
  <c r="L129" i="20"/>
  <c r="M129" i="20"/>
  <c r="N129" i="20"/>
  <c r="T129" i="20"/>
  <c r="U129" i="20"/>
  <c r="X129" i="20"/>
  <c r="Y129" i="20"/>
  <c r="Z129" i="20"/>
  <c r="AB129" i="20"/>
  <c r="AC129" i="20"/>
  <c r="AD129" i="20"/>
  <c r="AF129" i="20"/>
  <c r="AP129" i="20"/>
  <c r="AR129" i="20"/>
  <c r="K108" i="20"/>
  <c r="L108" i="20"/>
  <c r="M108" i="20"/>
  <c r="N108" i="20"/>
  <c r="O108" i="20"/>
  <c r="T108" i="20"/>
  <c r="U108" i="20"/>
  <c r="W108" i="20"/>
  <c r="X108" i="20"/>
  <c r="Y108" i="20"/>
  <c r="Z108" i="20"/>
  <c r="AB108" i="20"/>
  <c r="AD108" i="20"/>
  <c r="AE108" i="20"/>
  <c r="AF108" i="20"/>
  <c r="AQ108" i="20"/>
  <c r="K100" i="20"/>
  <c r="M100" i="20"/>
  <c r="T100" i="20"/>
  <c r="U100" i="20"/>
  <c r="W100" i="20"/>
  <c r="Y100" i="20"/>
  <c r="AA100" i="20"/>
  <c r="AB100" i="20"/>
  <c r="AC100" i="20"/>
  <c r="AE100" i="20"/>
  <c r="AR100" i="20"/>
  <c r="AO78" i="20"/>
  <c r="K383" i="20"/>
  <c r="L383" i="20"/>
  <c r="M383" i="20"/>
  <c r="N383" i="20"/>
  <c r="O383" i="20"/>
  <c r="T383" i="20"/>
  <c r="U383" i="20"/>
  <c r="W383" i="20"/>
  <c r="X383" i="20"/>
  <c r="Y383" i="20"/>
  <c r="Z383" i="20"/>
  <c r="AA383" i="20"/>
  <c r="AB383" i="20"/>
  <c r="AD383" i="20"/>
  <c r="AE383" i="20"/>
  <c r="AF383" i="20"/>
  <c r="AQ383" i="20"/>
  <c r="AL170" i="20"/>
  <c r="S122" i="20"/>
  <c r="S121" i="20" s="1"/>
  <c r="AH46" i="20"/>
  <c r="AG46" i="20" s="1"/>
  <c r="AH44" i="20"/>
  <c r="AO140" i="20"/>
  <c r="AK140" i="20" s="1"/>
  <c r="AK139" i="20" s="1"/>
  <c r="AK138" i="20" s="1"/>
  <c r="AG20" i="20"/>
  <c r="AH20" i="20"/>
  <c r="AG407" i="20"/>
  <c r="AG406" i="20" s="1"/>
  <c r="AC328" i="20"/>
  <c r="AC327" i="20" s="1"/>
  <c r="AD328" i="20"/>
  <c r="AD327" i="20" s="1"/>
  <c r="K308" i="20"/>
  <c r="K297" i="20" s="1"/>
  <c r="L308" i="20"/>
  <c r="N308" i="20"/>
  <c r="R308" i="20"/>
  <c r="S308" i="20"/>
  <c r="T308" i="20"/>
  <c r="U308" i="20"/>
  <c r="W308" i="20"/>
  <c r="AB308" i="20"/>
  <c r="AC308" i="20"/>
  <c r="AD308" i="20"/>
  <c r="AE308" i="20"/>
  <c r="AF308" i="20"/>
  <c r="AR308" i="20"/>
  <c r="K298" i="20"/>
  <c r="M298" i="20"/>
  <c r="O298" i="20"/>
  <c r="R298" i="20"/>
  <c r="S298" i="20"/>
  <c r="U298" i="20"/>
  <c r="W298" i="20"/>
  <c r="X298" i="20"/>
  <c r="Y298" i="20"/>
  <c r="Z298" i="20"/>
  <c r="AA298" i="20"/>
  <c r="AB298" i="20"/>
  <c r="AD298" i="20"/>
  <c r="AF298" i="20"/>
  <c r="AQ298" i="20"/>
  <c r="AR298" i="20"/>
  <c r="J298" i="20"/>
  <c r="K286" i="20"/>
  <c r="K285" i="20" s="1"/>
  <c r="L286" i="20"/>
  <c r="L285" i="20" s="1"/>
  <c r="L284" i="20" s="1"/>
  <c r="M286" i="20"/>
  <c r="M285" i="20" s="1"/>
  <c r="M284" i="20" s="1"/>
  <c r="N286" i="20"/>
  <c r="N285" i="20" s="1"/>
  <c r="N284" i="20" s="1"/>
  <c r="O286" i="20"/>
  <c r="O285" i="20" s="1"/>
  <c r="O284" i="20" s="1"/>
  <c r="T285" i="20"/>
  <c r="T284" i="20" s="1"/>
  <c r="U285" i="20"/>
  <c r="U284" i="20" s="1"/>
  <c r="W285" i="20"/>
  <c r="W284" i="20" s="1"/>
  <c r="X285" i="20"/>
  <c r="X284" i="20" s="1"/>
  <c r="AB285" i="20"/>
  <c r="AB284" i="20" s="1"/>
  <c r="AC285" i="20"/>
  <c r="AC284" i="20" s="1"/>
  <c r="AD285" i="20"/>
  <c r="AD284" i="20" s="1"/>
  <c r="AF285" i="20"/>
  <c r="AF284" i="20" s="1"/>
  <c r="L237" i="20"/>
  <c r="L233" i="20" s="1"/>
  <c r="M237" i="20"/>
  <c r="T237" i="20"/>
  <c r="W237" i="20"/>
  <c r="Y237" i="20"/>
  <c r="Z237" i="20"/>
  <c r="AA237" i="20"/>
  <c r="AC237" i="20"/>
  <c r="AE237" i="20"/>
  <c r="J237" i="20"/>
  <c r="K235" i="20"/>
  <c r="K234" i="20" s="1"/>
  <c r="L235" i="20"/>
  <c r="L234" i="20" s="1"/>
  <c r="M235" i="20"/>
  <c r="M234" i="20" s="1"/>
  <c r="N235" i="20"/>
  <c r="N234" i="20" s="1"/>
  <c r="O235" i="20"/>
  <c r="O234" i="20" s="1"/>
  <c r="S235" i="20"/>
  <c r="S234" i="20" s="1"/>
  <c r="T235" i="20"/>
  <c r="T234" i="20" s="1"/>
  <c r="U235" i="20"/>
  <c r="U234" i="20" s="1"/>
  <c r="W235" i="20"/>
  <c r="W234" i="20" s="1"/>
  <c r="X235" i="20"/>
  <c r="X234" i="20" s="1"/>
  <c r="Y235" i="20"/>
  <c r="Y234" i="20" s="1"/>
  <c r="Z235" i="20"/>
  <c r="Z234" i="20" s="1"/>
  <c r="AB235" i="20"/>
  <c r="AB234" i="20" s="1"/>
  <c r="AC235" i="20"/>
  <c r="AC234" i="20" s="1"/>
  <c r="AD235" i="20"/>
  <c r="AD234" i="20" s="1"/>
  <c r="AE235" i="20"/>
  <c r="AE234" i="20" s="1"/>
  <c r="AF235" i="20"/>
  <c r="AF234" i="20" s="1"/>
  <c r="AP235" i="20"/>
  <c r="AP234" i="20" s="1"/>
  <c r="AQ235" i="20"/>
  <c r="AQ234" i="20" s="1"/>
  <c r="AR235" i="20"/>
  <c r="AR234" i="20" s="1"/>
  <c r="J234" i="20"/>
  <c r="L167" i="20"/>
  <c r="M167" i="20"/>
  <c r="S167" i="20"/>
  <c r="U167" i="20"/>
  <c r="Y167" i="20"/>
  <c r="AD167" i="20"/>
  <c r="AF167" i="20"/>
  <c r="AQ167" i="20"/>
  <c r="K162" i="20"/>
  <c r="N162" i="20"/>
  <c r="T162" i="20"/>
  <c r="Y162" i="20"/>
  <c r="Z162" i="20"/>
  <c r="AD162" i="20"/>
  <c r="AQ162" i="20"/>
  <c r="AR162" i="20"/>
  <c r="J162" i="20"/>
  <c r="K145" i="20"/>
  <c r="L145" i="20"/>
  <c r="M145" i="20"/>
  <c r="N145" i="20"/>
  <c r="O145" i="20"/>
  <c r="S145" i="20"/>
  <c r="W145" i="20"/>
  <c r="X145" i="20"/>
  <c r="Y145" i="20"/>
  <c r="Z145" i="20"/>
  <c r="AA145" i="20"/>
  <c r="AE145" i="20"/>
  <c r="AF145" i="20"/>
  <c r="AQ145" i="20"/>
  <c r="J141" i="20"/>
  <c r="U121" i="20"/>
  <c r="Z121" i="20"/>
  <c r="AC121" i="20"/>
  <c r="T118" i="20"/>
  <c r="U118" i="20"/>
  <c r="Z118" i="20"/>
  <c r="AC118" i="20"/>
  <c r="AD118" i="20"/>
  <c r="AE118" i="20"/>
  <c r="AR118" i="20"/>
  <c r="J118" i="20"/>
  <c r="L91" i="20"/>
  <c r="N91" i="20"/>
  <c r="S91" i="20"/>
  <c r="T91" i="20"/>
  <c r="U91" i="20"/>
  <c r="X91" i="20"/>
  <c r="Z91" i="20"/>
  <c r="AC91" i="20"/>
  <c r="AD91" i="20"/>
  <c r="AE91" i="20"/>
  <c r="AQ91" i="20"/>
  <c r="L86" i="20"/>
  <c r="L85" i="20" s="1"/>
  <c r="M86" i="20"/>
  <c r="O86" i="20"/>
  <c r="O85" i="20" s="1"/>
  <c r="R86" i="20"/>
  <c r="R85" i="20" s="1"/>
  <c r="S86" i="20"/>
  <c r="S85" i="20" s="1"/>
  <c r="T86" i="20"/>
  <c r="T85" i="20" s="1"/>
  <c r="U86" i="20"/>
  <c r="U85" i="20" s="1"/>
  <c r="W86" i="20"/>
  <c r="W85" i="20" s="1"/>
  <c r="X86" i="20"/>
  <c r="X85" i="20" s="1"/>
  <c r="Y86" i="20"/>
  <c r="Z86" i="20"/>
  <c r="Z85" i="20" s="1"/>
  <c r="AA86" i="20"/>
  <c r="AA85" i="20" s="1"/>
  <c r="AA84" i="20" s="1"/>
  <c r="AB86" i="20"/>
  <c r="AB85" i="20" s="1"/>
  <c r="AC86" i="20"/>
  <c r="AC85" i="20" s="1"/>
  <c r="AD86" i="20"/>
  <c r="AD85" i="20" s="1"/>
  <c r="AE86" i="20"/>
  <c r="AE85" i="20" s="1"/>
  <c r="AF86" i="20"/>
  <c r="AF85" i="20" s="1"/>
  <c r="AP86" i="20"/>
  <c r="AP85" i="20" s="1"/>
  <c r="AQ86" i="20"/>
  <c r="AQ85" i="20" s="1"/>
  <c r="AR86" i="20"/>
  <c r="AR85" i="20" s="1"/>
  <c r="Y370" i="20"/>
  <c r="N370" i="20"/>
  <c r="AF370" i="20"/>
  <c r="X370" i="20"/>
  <c r="AD370" i="20"/>
  <c r="U370" i="20"/>
  <c r="O370" i="20"/>
  <c r="U62" i="20"/>
  <c r="T62" i="20"/>
  <c r="O62" i="20"/>
  <c r="O61" i="20" s="1"/>
  <c r="N62" i="20"/>
  <c r="M62" i="20"/>
  <c r="M61" i="20" s="1"/>
  <c r="L62" i="20"/>
  <c r="L61" i="20" s="1"/>
  <c r="K62" i="20"/>
  <c r="J62" i="20"/>
  <c r="Y62" i="20"/>
  <c r="Y61" i="20" s="1"/>
  <c r="Z62" i="20"/>
  <c r="Z61" i="20" s="1"/>
  <c r="AB62" i="20"/>
  <c r="AB61" i="20" s="1"/>
  <c r="AC62" i="20"/>
  <c r="AD62" i="20"/>
  <c r="AE62" i="20"/>
  <c r="AE61" i="20" s="1"/>
  <c r="AF62" i="20"/>
  <c r="AP62" i="20"/>
  <c r="AP61" i="20" s="1"/>
  <c r="AQ62" i="20"/>
  <c r="AR62" i="20"/>
  <c r="AR61" i="20" s="1"/>
  <c r="X62" i="20"/>
  <c r="X61" i="20" s="1"/>
  <c r="AL62" i="20"/>
  <c r="AM63" i="20"/>
  <c r="AM62" i="20" s="1"/>
  <c r="AN63" i="20"/>
  <c r="AN62" i="20" s="1"/>
  <c r="AM73" i="20"/>
  <c r="AN73" i="20"/>
  <c r="AM65" i="20"/>
  <c r="AN65" i="20"/>
  <c r="AM66" i="20"/>
  <c r="AN66" i="20"/>
  <c r="AM67" i="20"/>
  <c r="AN67" i="20"/>
  <c r="AM68" i="20"/>
  <c r="AN68" i="20"/>
  <c r="AM69" i="20"/>
  <c r="AN69" i="20"/>
  <c r="AM70" i="20"/>
  <c r="AN70" i="20"/>
  <c r="AL78" i="20"/>
  <c r="AM78" i="20"/>
  <c r="AN78" i="20"/>
  <c r="AM89" i="20"/>
  <c r="AM88" i="20" s="1"/>
  <c r="AN89" i="20"/>
  <c r="AN88" i="20" s="1"/>
  <c r="AM87" i="20"/>
  <c r="AM86" i="20" s="1"/>
  <c r="AM85" i="20" s="1"/>
  <c r="AN87" i="20"/>
  <c r="AN86" i="20" s="1"/>
  <c r="AN85" i="20" s="1"/>
  <c r="AL93" i="20"/>
  <c r="AM93" i="20"/>
  <c r="AN93" i="20"/>
  <c r="AM94" i="20"/>
  <c r="AN94" i="20"/>
  <c r="AM95" i="20"/>
  <c r="AN95" i="20"/>
  <c r="AM96" i="20"/>
  <c r="AN96" i="20"/>
  <c r="AM97" i="20"/>
  <c r="AN97" i="20"/>
  <c r="AM98" i="20"/>
  <c r="AN98" i="20"/>
  <c r="AM99" i="20"/>
  <c r="AN99" i="20"/>
  <c r="AM90" i="20"/>
  <c r="AN90" i="20"/>
  <c r="AL102" i="20"/>
  <c r="AM102" i="20"/>
  <c r="AN102" i="20"/>
  <c r="AL104" i="20"/>
  <c r="AM104" i="20"/>
  <c r="AN104" i="20"/>
  <c r="AM106" i="20"/>
  <c r="AM120" i="20"/>
  <c r="AM119" i="20" s="1"/>
  <c r="AM118" i="20" s="1"/>
  <c r="AN120" i="20"/>
  <c r="AN119" i="20" s="1"/>
  <c r="AN118" i="20" s="1"/>
  <c r="AM123" i="20"/>
  <c r="AM128" i="20"/>
  <c r="AM124" i="20"/>
  <c r="AM125" i="20"/>
  <c r="AM126" i="20"/>
  <c r="AM127" i="20"/>
  <c r="AL140" i="20"/>
  <c r="AL139" i="20" s="1"/>
  <c r="AL138" i="20" s="1"/>
  <c r="AM140" i="20"/>
  <c r="AM139" i="20" s="1"/>
  <c r="AM138" i="20" s="1"/>
  <c r="AN140" i="20"/>
  <c r="AN139" i="20" s="1"/>
  <c r="AN138" i="20" s="1"/>
  <c r="AM148" i="20"/>
  <c r="AM149" i="20"/>
  <c r="AL150" i="20"/>
  <c r="AM150" i="20"/>
  <c r="AK155" i="20"/>
  <c r="AL155" i="20"/>
  <c r="AM155" i="20"/>
  <c r="AN155" i="20"/>
  <c r="AK156" i="20"/>
  <c r="AL156" i="20"/>
  <c r="AM156" i="20"/>
  <c r="AN156" i="20"/>
  <c r="AK157" i="20"/>
  <c r="AL157" i="20"/>
  <c r="AM157" i="20"/>
  <c r="AN157" i="20"/>
  <c r="AL153" i="20"/>
  <c r="AL152" i="20" s="1"/>
  <c r="AL151" i="20" s="1"/>
  <c r="AM153" i="20"/>
  <c r="AN153" i="20"/>
  <c r="AN152" i="20" s="1"/>
  <c r="AN151" i="20" s="1"/>
  <c r="AK158" i="20"/>
  <c r="AL158" i="20"/>
  <c r="AM158" i="20"/>
  <c r="AN158" i="20"/>
  <c r="AK159" i="20"/>
  <c r="AL159" i="20"/>
  <c r="AM159" i="20"/>
  <c r="AN159" i="20"/>
  <c r="AN160" i="20"/>
  <c r="AM162" i="20"/>
  <c r="AK165" i="20"/>
  <c r="AL165" i="20"/>
  <c r="AM165" i="20"/>
  <c r="AN165" i="20"/>
  <c r="AK166" i="20"/>
  <c r="AL166" i="20"/>
  <c r="AM166" i="20"/>
  <c r="AN166" i="20"/>
  <c r="AM177" i="20"/>
  <c r="AM176" i="20" s="1"/>
  <c r="AM175" i="20" s="1"/>
  <c r="AN177" i="20"/>
  <c r="AN176" i="20" s="1"/>
  <c r="AN175" i="20" s="1"/>
  <c r="AM170" i="20"/>
  <c r="AN170" i="20"/>
  <c r="AM171" i="20"/>
  <c r="AN171" i="20"/>
  <c r="AM169" i="20"/>
  <c r="AN169" i="20"/>
  <c r="AL206" i="20"/>
  <c r="AM206" i="20"/>
  <c r="AN206" i="20"/>
  <c r="AK231" i="20"/>
  <c r="AL231" i="20"/>
  <c r="AM231" i="20"/>
  <c r="AN231" i="20"/>
  <c r="AM236" i="20"/>
  <c r="AM235" i="20" s="1"/>
  <c r="AM234" i="20" s="1"/>
  <c r="AN236" i="20"/>
  <c r="AN235" i="20" s="1"/>
  <c r="AN234" i="20" s="1"/>
  <c r="AL239" i="20"/>
  <c r="AN239" i="20"/>
  <c r="AM240" i="20"/>
  <c r="AN240" i="20"/>
  <c r="AM241" i="20"/>
  <c r="AN241" i="20"/>
  <c r="AM242" i="20"/>
  <c r="AN242" i="20"/>
  <c r="AM243" i="20"/>
  <c r="AN243" i="20"/>
  <c r="AM244" i="20"/>
  <c r="AN244" i="20"/>
  <c r="AL245" i="20"/>
  <c r="AM245" i="20"/>
  <c r="AN245" i="20"/>
  <c r="AL246" i="20"/>
  <c r="AM246" i="20"/>
  <c r="AN246" i="20"/>
  <c r="AK252" i="20"/>
  <c r="AK249" i="20" s="1"/>
  <c r="AM252" i="20"/>
  <c r="AM249" i="20" s="1"/>
  <c r="AN252" i="20"/>
  <c r="AN249" i="20" s="1"/>
  <c r="AK254" i="20"/>
  <c r="AL254" i="20"/>
  <c r="AM254" i="20"/>
  <c r="AN254" i="20"/>
  <c r="AK255" i="20"/>
  <c r="AL255" i="20"/>
  <c r="AM255" i="20"/>
  <c r="AN255" i="20"/>
  <c r="AK256" i="20"/>
  <c r="AL256" i="20"/>
  <c r="AM256" i="20"/>
  <c r="AN256" i="20"/>
  <c r="AM271" i="20"/>
  <c r="AN271" i="20"/>
  <c r="AK281" i="20"/>
  <c r="AL281" i="20"/>
  <c r="AM281" i="20"/>
  <c r="AN281" i="20"/>
  <c r="AK282" i="20"/>
  <c r="AL282" i="20"/>
  <c r="AM282" i="20"/>
  <c r="AN282" i="20"/>
  <c r="AM287" i="20"/>
  <c r="AN287" i="20"/>
  <c r="AM288" i="20"/>
  <c r="AN288" i="20"/>
  <c r="AM289" i="20"/>
  <c r="AN289" i="20"/>
  <c r="AL290" i="20"/>
  <c r="AM290" i="20"/>
  <c r="AN290" i="20"/>
  <c r="AL310" i="20"/>
  <c r="AL309" i="20" s="1"/>
  <c r="AL308" i="20" s="1"/>
  <c r="AM310" i="20"/>
  <c r="AN310" i="20"/>
  <c r="AL300" i="20"/>
  <c r="AM300" i="20"/>
  <c r="AN300" i="20"/>
  <c r="AM302" i="20"/>
  <c r="AN302" i="20"/>
  <c r="AM301" i="20"/>
  <c r="AN301" i="20"/>
  <c r="AL311" i="20"/>
  <c r="AM311" i="20"/>
  <c r="AN311" i="20"/>
  <c r="AM312" i="20"/>
  <c r="AN312" i="20"/>
  <c r="AM314" i="20"/>
  <c r="AN314" i="20"/>
  <c r="AM313" i="20"/>
  <c r="AN313" i="20"/>
  <c r="AL319" i="20"/>
  <c r="AM319" i="20"/>
  <c r="AN319" i="20"/>
  <c r="AM330" i="20"/>
  <c r="AN330" i="20"/>
  <c r="AL373" i="20"/>
  <c r="AM373" i="20"/>
  <c r="AN373" i="20"/>
  <c r="AM363" i="20"/>
  <c r="AN363" i="20"/>
  <c r="AM364" i="20"/>
  <c r="AN364" i="20"/>
  <c r="AM372" i="20"/>
  <c r="AN372" i="20"/>
  <c r="AM365" i="20"/>
  <c r="AN365" i="20"/>
  <c r="AM404" i="20"/>
  <c r="AM403" i="20" s="1"/>
  <c r="AN404" i="20"/>
  <c r="AN403" i="20" s="1"/>
  <c r="AL405" i="20"/>
  <c r="AM405" i="20"/>
  <c r="AN405" i="20"/>
  <c r="AL407" i="20"/>
  <c r="AL406" i="20" s="1"/>
  <c r="AM407" i="20"/>
  <c r="AM406" i="20" s="1"/>
  <c r="AN407" i="20"/>
  <c r="AN406" i="20" s="1"/>
  <c r="AK411" i="20"/>
  <c r="AL411" i="20"/>
  <c r="AL410" i="20" s="1"/>
  <c r="AM411" i="20"/>
  <c r="AM410" i="20" s="1"/>
  <c r="AN411" i="20"/>
  <c r="AN410" i="20" s="1"/>
  <c r="AL413" i="20"/>
  <c r="AM413" i="20"/>
  <c r="AN413" i="20"/>
  <c r="AK417" i="20"/>
  <c r="AL417" i="20"/>
  <c r="AM417" i="20"/>
  <c r="AN417" i="20"/>
  <c r="AK418" i="20"/>
  <c r="AL418" i="20"/>
  <c r="AM418" i="20"/>
  <c r="AN418" i="20"/>
  <c r="AK419" i="20"/>
  <c r="AL419" i="20"/>
  <c r="AM419" i="20"/>
  <c r="AN419" i="20"/>
  <c r="AK420" i="20"/>
  <c r="AL420" i="20"/>
  <c r="AM420" i="20"/>
  <c r="AN420" i="20"/>
  <c r="AK421" i="20"/>
  <c r="AL421" i="20"/>
  <c r="AM421" i="20"/>
  <c r="AN421" i="20"/>
  <c r="AK422" i="20"/>
  <c r="AL422" i="20"/>
  <c r="AM422" i="20"/>
  <c r="AN422" i="20"/>
  <c r="AK423" i="20"/>
  <c r="AL423" i="20"/>
  <c r="AM423" i="20"/>
  <c r="AN423" i="20"/>
  <c r="AK424" i="20"/>
  <c r="AL424" i="20"/>
  <c r="AM424" i="20"/>
  <c r="AN424" i="20"/>
  <c r="AK425" i="20"/>
  <c r="AL425" i="20"/>
  <c r="AM425" i="20"/>
  <c r="AN425" i="20"/>
  <c r="AK426" i="20"/>
  <c r="AL426" i="20"/>
  <c r="AM426" i="20"/>
  <c r="AN426" i="20"/>
  <c r="AK427" i="20"/>
  <c r="AL427" i="20"/>
  <c r="AM427" i="20"/>
  <c r="AN427" i="20"/>
  <c r="AK428" i="20"/>
  <c r="AL428" i="20"/>
  <c r="AM428" i="20"/>
  <c r="AN428" i="20"/>
  <c r="AL458" i="20"/>
  <c r="AM458" i="20"/>
  <c r="AN458" i="20"/>
  <c r="AK459" i="20"/>
  <c r="AL459" i="20"/>
  <c r="AM459" i="20"/>
  <c r="AN459" i="20"/>
  <c r="AK460" i="20"/>
  <c r="AL460" i="20"/>
  <c r="AM460" i="20"/>
  <c r="AN460" i="20"/>
  <c r="AK466" i="20"/>
  <c r="AL466" i="20"/>
  <c r="AM466" i="20"/>
  <c r="AN466" i="20"/>
  <c r="AH19" i="20"/>
  <c r="AH21" i="20"/>
  <c r="AH22" i="20"/>
  <c r="AH24" i="20"/>
  <c r="AH25" i="20"/>
  <c r="AH27" i="20"/>
  <c r="AH29" i="20"/>
  <c r="AH31" i="20"/>
  <c r="AH32" i="20"/>
  <c r="AH33" i="20"/>
  <c r="AH34" i="20"/>
  <c r="AH35" i="20"/>
  <c r="AH36" i="20"/>
  <c r="AH37" i="20"/>
  <c r="AH38" i="20"/>
  <c r="AH39" i="20"/>
  <c r="AH40" i="20"/>
  <c r="AH62" i="20"/>
  <c r="AH73" i="20"/>
  <c r="AH69" i="20"/>
  <c r="AU69" i="20" s="1"/>
  <c r="AT69" i="20" s="1"/>
  <c r="AH70" i="20"/>
  <c r="AU70" i="20" s="1"/>
  <c r="AT70" i="20" s="1"/>
  <c r="AH78" i="20"/>
  <c r="AU78" i="20" s="1"/>
  <c r="AH87" i="20"/>
  <c r="AH86" i="20" s="1"/>
  <c r="AH85" i="20" s="1"/>
  <c r="AH93" i="20"/>
  <c r="AU93" i="20" s="1"/>
  <c r="AH94" i="20"/>
  <c r="AU94" i="20" s="1"/>
  <c r="AT94" i="20" s="1"/>
  <c r="AH96" i="20"/>
  <c r="AL96" i="20" s="1"/>
  <c r="AK96" i="20" s="1"/>
  <c r="AH97" i="20"/>
  <c r="AU97" i="20" s="1"/>
  <c r="AK90" i="20"/>
  <c r="AH104" i="20"/>
  <c r="AU104" i="20" s="1"/>
  <c r="AT104" i="20" s="1"/>
  <c r="AH106" i="20"/>
  <c r="AU106" i="20" s="1"/>
  <c r="AT106" i="20" s="1"/>
  <c r="AH123" i="20"/>
  <c r="AU123" i="20" s="1"/>
  <c r="AT123" i="20" s="1"/>
  <c r="AH124" i="20"/>
  <c r="AU124" i="20" s="1"/>
  <c r="AH125" i="20"/>
  <c r="AU125" i="20" s="1"/>
  <c r="AT125" i="20" s="1"/>
  <c r="AH126" i="20"/>
  <c r="AU126" i="20" s="1"/>
  <c r="AT126" i="20" s="1"/>
  <c r="AH127" i="20"/>
  <c r="AU127" i="20" s="1"/>
  <c r="AT127" i="20" s="1"/>
  <c r="AH148" i="20"/>
  <c r="AU148" i="20" s="1"/>
  <c r="AT148" i="20" s="1"/>
  <c r="AH149" i="20"/>
  <c r="AU149" i="20" s="1"/>
  <c r="AT149" i="20" s="1"/>
  <c r="AH150" i="20"/>
  <c r="AU150" i="20" s="1"/>
  <c r="AT150" i="20" s="1"/>
  <c r="AH155" i="20"/>
  <c r="AH156" i="20"/>
  <c r="AH157" i="20"/>
  <c r="AH153" i="20"/>
  <c r="AH152" i="20" s="1"/>
  <c r="AH151" i="20" s="1"/>
  <c r="AH158" i="20"/>
  <c r="AH159" i="20"/>
  <c r="AH162" i="20"/>
  <c r="AH165" i="20"/>
  <c r="AH166" i="20"/>
  <c r="AH177" i="20"/>
  <c r="AH176" i="20" s="1"/>
  <c r="AH175" i="20" s="1"/>
  <c r="AH170" i="20"/>
  <c r="AH171" i="20"/>
  <c r="AU171" i="20" s="1"/>
  <c r="AT171" i="20" s="1"/>
  <c r="AH169" i="20"/>
  <c r="AU169" i="20" s="1"/>
  <c r="AT169" i="20" s="1"/>
  <c r="AH231" i="20"/>
  <c r="AH235" i="20"/>
  <c r="AH234" i="20" s="1"/>
  <c r="AH239" i="20"/>
  <c r="AU239" i="20" s="1"/>
  <c r="AT239" i="20" s="1"/>
  <c r="AH240" i="20"/>
  <c r="AU240" i="20" s="1"/>
  <c r="AT240" i="20" s="1"/>
  <c r="AH241" i="20"/>
  <c r="AU241" i="20" s="1"/>
  <c r="AH242" i="20"/>
  <c r="AU242" i="20" s="1"/>
  <c r="AT242" i="20" s="1"/>
  <c r="AH243" i="20"/>
  <c r="AU243" i="20" s="1"/>
  <c r="AT243" i="20" s="1"/>
  <c r="AH245" i="20"/>
  <c r="AU245" i="20" s="1"/>
  <c r="AT245" i="20" s="1"/>
  <c r="AH252" i="20"/>
  <c r="AH249" i="20" s="1"/>
  <c r="AH254" i="20"/>
  <c r="AH255" i="20"/>
  <c r="AH256" i="20"/>
  <c r="AH271" i="20"/>
  <c r="AU271" i="20" s="1"/>
  <c r="AT271" i="20" s="1"/>
  <c r="AH281" i="20"/>
  <c r="AH282" i="20"/>
  <c r="AH287" i="20"/>
  <c r="AU287" i="20" s="1"/>
  <c r="AH288" i="20"/>
  <c r="AU288" i="20" s="1"/>
  <c r="AT288" i="20" s="1"/>
  <c r="AH289" i="20"/>
  <c r="AU289" i="20" s="1"/>
  <c r="AT289" i="20" s="1"/>
  <c r="AH290" i="20"/>
  <c r="AU290" i="20" s="1"/>
  <c r="AT290" i="20" s="1"/>
  <c r="AH300" i="20"/>
  <c r="AH302" i="20"/>
  <c r="AU302" i="20" s="1"/>
  <c r="AT302" i="20" s="1"/>
  <c r="AH301" i="20"/>
  <c r="AH311" i="20"/>
  <c r="AH312" i="20"/>
  <c r="AU312" i="20" s="1"/>
  <c r="AT312" i="20" s="1"/>
  <c r="BA314" i="20"/>
  <c r="AH313" i="20"/>
  <c r="AU313" i="20" s="1"/>
  <c r="AT313" i="20" s="1"/>
  <c r="AH319" i="20"/>
  <c r="AU319" i="20" s="1"/>
  <c r="AU316" i="20" s="1"/>
  <c r="AH330" i="20"/>
  <c r="AU330" i="20" s="1"/>
  <c r="AH373" i="20"/>
  <c r="AU373" i="20" s="1"/>
  <c r="AH364" i="20"/>
  <c r="AU364" i="20" s="1"/>
  <c r="BA364" i="20"/>
  <c r="AH372" i="20"/>
  <c r="AU372" i="20" s="1"/>
  <c r="AV365" i="20"/>
  <c r="AH417" i="20"/>
  <c r="AU417" i="20" s="1"/>
  <c r="AH418" i="20"/>
  <c r="AU418" i="20" s="1"/>
  <c r="AH419" i="20"/>
  <c r="AU419" i="20" s="1"/>
  <c r="AH420" i="20"/>
  <c r="AU420" i="20" s="1"/>
  <c r="AH421" i="20"/>
  <c r="AU421" i="20" s="1"/>
  <c r="AH422" i="20"/>
  <c r="AU422" i="20" s="1"/>
  <c r="AH423" i="20"/>
  <c r="AU423" i="20" s="1"/>
  <c r="AH424" i="20"/>
  <c r="AU424" i="20" s="1"/>
  <c r="AH425" i="20"/>
  <c r="AU425" i="20" s="1"/>
  <c r="AH426" i="20"/>
  <c r="AU426" i="20" s="1"/>
  <c r="AH427" i="20"/>
  <c r="AU427" i="20" s="1"/>
  <c r="AH428" i="20"/>
  <c r="AU428" i="20" s="1"/>
  <c r="AH458" i="20"/>
  <c r="AH460" i="20"/>
  <c r="AH466" i="20"/>
  <c r="AG17" i="20"/>
  <c r="AG18" i="20"/>
  <c r="AG19" i="20"/>
  <c r="AG21" i="20"/>
  <c r="AG22" i="20"/>
  <c r="AG23" i="20"/>
  <c r="AG24" i="20"/>
  <c r="AG25" i="20"/>
  <c r="AG26" i="20"/>
  <c r="AG27" i="20"/>
  <c r="AG29" i="20"/>
  <c r="AG31" i="20"/>
  <c r="AG32" i="20"/>
  <c r="AG33" i="20"/>
  <c r="AG34" i="20"/>
  <c r="AG35" i="20"/>
  <c r="AG36" i="20"/>
  <c r="AG37" i="20"/>
  <c r="AG38" i="20"/>
  <c r="AG39" i="20"/>
  <c r="AG40" i="20"/>
  <c r="AG73" i="20"/>
  <c r="AG72" i="20" s="1"/>
  <c r="AG71" i="20" s="1"/>
  <c r="AG66" i="20"/>
  <c r="AG67" i="20"/>
  <c r="AG68" i="20"/>
  <c r="AG69" i="20"/>
  <c r="AG70" i="20"/>
  <c r="AG78" i="20"/>
  <c r="AG87" i="20"/>
  <c r="AG86" i="20" s="1"/>
  <c r="AG85" i="20" s="1"/>
  <c r="AG93" i="20"/>
  <c r="AG94" i="20"/>
  <c r="AG95" i="20"/>
  <c r="AG96" i="20"/>
  <c r="AG98" i="20"/>
  <c r="AG99" i="20"/>
  <c r="AG90" i="20"/>
  <c r="AG104" i="20"/>
  <c r="AG106" i="20"/>
  <c r="AG120" i="20"/>
  <c r="AG119" i="20" s="1"/>
  <c r="AG118" i="20" s="1"/>
  <c r="AG123" i="20"/>
  <c r="AG128" i="20"/>
  <c r="AG124" i="20"/>
  <c r="AG125" i="20"/>
  <c r="AG126" i="20"/>
  <c r="AG127" i="20"/>
  <c r="AG140" i="20"/>
  <c r="AG139" i="20" s="1"/>
  <c r="AG138" i="20" s="1"/>
  <c r="AG148" i="20"/>
  <c r="AG149" i="20"/>
  <c r="AG150" i="20"/>
  <c r="AG155" i="20"/>
  <c r="AG156" i="20"/>
  <c r="AG157" i="20"/>
  <c r="AG153" i="20"/>
  <c r="AG152" i="20" s="1"/>
  <c r="AG151" i="20" s="1"/>
  <c r="AG158" i="20"/>
  <c r="AG159" i="20"/>
  <c r="AG160" i="20"/>
  <c r="AG165" i="20"/>
  <c r="AG166" i="20"/>
  <c r="AG177" i="20"/>
  <c r="AG176" i="20" s="1"/>
  <c r="AG175" i="20" s="1"/>
  <c r="AG171" i="20"/>
  <c r="AG169" i="20"/>
  <c r="AG231" i="20"/>
  <c r="AG239" i="20"/>
  <c r="AG240" i="20"/>
  <c r="AG241" i="20"/>
  <c r="AG242" i="20"/>
  <c r="AG243" i="20"/>
  <c r="AG245" i="20"/>
  <c r="AG252" i="20"/>
  <c r="AG249" i="20" s="1"/>
  <c r="AG254" i="20"/>
  <c r="AG255" i="20"/>
  <c r="AG256" i="20"/>
  <c r="AG271" i="20"/>
  <c r="AG281" i="20"/>
  <c r="AG282" i="20"/>
  <c r="AG287" i="20"/>
  <c r="AG288" i="20"/>
  <c r="AG289" i="20"/>
  <c r="AG290" i="20"/>
  <c r="AG310" i="20"/>
  <c r="AG300" i="20"/>
  <c r="AG302" i="20"/>
  <c r="AG301" i="20"/>
  <c r="AG311" i="20"/>
  <c r="AG312" i="20"/>
  <c r="AG314" i="20"/>
  <c r="AG313" i="20"/>
  <c r="AG319" i="20"/>
  <c r="AG330" i="20"/>
  <c r="AG373" i="20"/>
  <c r="AG363" i="20"/>
  <c r="AG364" i="20"/>
  <c r="AG372" i="20"/>
  <c r="AG365" i="20"/>
  <c r="AT365" i="20" s="1"/>
  <c r="AG404" i="20"/>
  <c r="AG403" i="20" s="1"/>
  <c r="AG400" i="20" s="1"/>
  <c r="AG405" i="20"/>
  <c r="AG411" i="20"/>
  <c r="AG410" i="20" s="1"/>
  <c r="AG417" i="20"/>
  <c r="AT417" i="20" s="1"/>
  <c r="AG418" i="20"/>
  <c r="AT418" i="20" s="1"/>
  <c r="AG419" i="20"/>
  <c r="AT419" i="20" s="1"/>
  <c r="AG420" i="20"/>
  <c r="AT420" i="20" s="1"/>
  <c r="AG421" i="20"/>
  <c r="AT421" i="20" s="1"/>
  <c r="AG422" i="20"/>
  <c r="AT422" i="20" s="1"/>
  <c r="AG423" i="20"/>
  <c r="AT423" i="20" s="1"/>
  <c r="AG424" i="20"/>
  <c r="AT424" i="20" s="1"/>
  <c r="AG425" i="20"/>
  <c r="AT425" i="20" s="1"/>
  <c r="AG426" i="20"/>
  <c r="AT426" i="20" s="1"/>
  <c r="AG427" i="20"/>
  <c r="AT427" i="20" s="1"/>
  <c r="AG428" i="20"/>
  <c r="AT428" i="20" s="1"/>
  <c r="AG458" i="20"/>
  <c r="AG459" i="20"/>
  <c r="AG460" i="20"/>
  <c r="AG466" i="20"/>
  <c r="AG16" i="20"/>
  <c r="Q466" i="20"/>
  <c r="P466" i="20"/>
  <c r="Q460" i="20"/>
  <c r="P460" i="20"/>
  <c r="Q459" i="20"/>
  <c r="P459" i="20"/>
  <c r="Q458" i="20"/>
  <c r="P458" i="20"/>
  <c r="Q457" i="20"/>
  <c r="P457" i="20"/>
  <c r="Q427" i="20"/>
  <c r="P427" i="20"/>
  <c r="Q426" i="20"/>
  <c r="P426" i="20"/>
  <c r="Q425" i="20"/>
  <c r="P425" i="20"/>
  <c r="Q424" i="20"/>
  <c r="P424" i="20"/>
  <c r="Q423" i="20"/>
  <c r="P423" i="20"/>
  <c r="Q422" i="20"/>
  <c r="P422" i="20"/>
  <c r="Q421" i="20"/>
  <c r="P421" i="20"/>
  <c r="Q420" i="20"/>
  <c r="P420" i="20"/>
  <c r="Q419" i="20"/>
  <c r="P419" i="20"/>
  <c r="Q418" i="20"/>
  <c r="P418" i="20"/>
  <c r="AO413" i="20"/>
  <c r="AK413" i="20" s="1"/>
  <c r="Q413" i="20"/>
  <c r="P413" i="20"/>
  <c r="Q411" i="20"/>
  <c r="P411" i="20"/>
  <c r="P410" i="20" s="1"/>
  <c r="AO407" i="20"/>
  <c r="AK407" i="20" s="1"/>
  <c r="AK406" i="20" s="1"/>
  <c r="Q407" i="20"/>
  <c r="Q406" i="20" s="1"/>
  <c r="P407" i="20"/>
  <c r="P406" i="20" s="1"/>
  <c r="AO405" i="20"/>
  <c r="AK405" i="20" s="1"/>
  <c r="AE405" i="20"/>
  <c r="AH405" i="20"/>
  <c r="Q405" i="20"/>
  <c r="P405" i="20"/>
  <c r="Q404" i="20"/>
  <c r="Q403" i="20" s="1"/>
  <c r="Q400" i="20" s="1"/>
  <c r="P404" i="20"/>
  <c r="P403" i="20" s="1"/>
  <c r="P400" i="20" s="1"/>
  <c r="AL365" i="20"/>
  <c r="Q365" i="20"/>
  <c r="P365" i="20"/>
  <c r="Q372" i="20"/>
  <c r="P372" i="20"/>
  <c r="Q364" i="20"/>
  <c r="P364" i="20"/>
  <c r="Q363" i="20"/>
  <c r="P363" i="20"/>
  <c r="Q373" i="20"/>
  <c r="P373" i="20"/>
  <c r="Q330" i="20"/>
  <c r="Q329" i="20" s="1"/>
  <c r="Q328" i="20" s="1"/>
  <c r="Q327" i="20" s="1"/>
  <c r="P330" i="20"/>
  <c r="P329" i="20" s="1"/>
  <c r="P328" i="20" s="1"/>
  <c r="P327" i="20" s="1"/>
  <c r="AR329" i="20"/>
  <c r="AN329" i="20" s="1"/>
  <c r="AN328" i="20" s="1"/>
  <c r="AN327" i="20" s="1"/>
  <c r="AQ329" i="20"/>
  <c r="AM329" i="20" s="1"/>
  <c r="AM328" i="20" s="1"/>
  <c r="AM327" i="20" s="1"/>
  <c r="AF329" i="20"/>
  <c r="AF328" i="20" s="1"/>
  <c r="AF327" i="20" s="1"/>
  <c r="AE329" i="20"/>
  <c r="AE328" i="20" s="1"/>
  <c r="AE327" i="20" s="1"/>
  <c r="AB329" i="20"/>
  <c r="AB328" i="20" s="1"/>
  <c r="AB327" i="20" s="1"/>
  <c r="AA329" i="20"/>
  <c r="AA328" i="20" s="1"/>
  <c r="AA327" i="20" s="1"/>
  <c r="Z329" i="20"/>
  <c r="Z328" i="20" s="1"/>
  <c r="Z327" i="20" s="1"/>
  <c r="Y329" i="20"/>
  <c r="Y328" i="20" s="1"/>
  <c r="Y327" i="20" s="1"/>
  <c r="X329" i="20"/>
  <c r="W329" i="20"/>
  <c r="W328" i="20" s="1"/>
  <c r="W327" i="20" s="1"/>
  <c r="U329" i="20"/>
  <c r="U328" i="20" s="1"/>
  <c r="T329" i="20"/>
  <c r="T328" i="20" s="1"/>
  <c r="T327" i="20" s="1"/>
  <c r="S329" i="20"/>
  <c r="S328" i="20" s="1"/>
  <c r="S327" i="20" s="1"/>
  <c r="R329" i="20"/>
  <c r="R328" i="20" s="1"/>
  <c r="R327" i="20" s="1"/>
  <c r="O329" i="20"/>
  <c r="O328" i="20" s="1"/>
  <c r="O327" i="20" s="1"/>
  <c r="N329" i="20"/>
  <c r="N328" i="20" s="1"/>
  <c r="N327" i="20" s="1"/>
  <c r="M329" i="20"/>
  <c r="M328" i="20" s="1"/>
  <c r="M327" i="20" s="1"/>
  <c r="L329" i="20"/>
  <c r="L328" i="20" s="1"/>
  <c r="L327" i="20" s="1"/>
  <c r="K329" i="20"/>
  <c r="K328" i="20" s="1"/>
  <c r="K327" i="20" s="1"/>
  <c r="J329" i="20"/>
  <c r="J328" i="20" s="1"/>
  <c r="J327" i="20" s="1"/>
  <c r="H35" i="20"/>
  <c r="Q326" i="20"/>
  <c r="P326" i="20"/>
  <c r="Q319" i="20"/>
  <c r="P319" i="20"/>
  <c r="Q313" i="20"/>
  <c r="P313" i="20"/>
  <c r="Q314" i="20"/>
  <c r="P314" i="20"/>
  <c r="Q312" i="20"/>
  <c r="P312" i="20"/>
  <c r="AO311" i="20"/>
  <c r="Q311" i="20"/>
  <c r="P311" i="20"/>
  <c r="AP301" i="20"/>
  <c r="AL301" i="20" s="1"/>
  <c r="P301" i="20"/>
  <c r="Q302" i="20"/>
  <c r="P302" i="20"/>
  <c r="AO300" i="20"/>
  <c r="AK300" i="20" s="1"/>
  <c r="Q300" i="20"/>
  <c r="P300" i="20"/>
  <c r="AO310" i="20"/>
  <c r="AO309" i="20" s="1"/>
  <c r="AO308" i="20" s="1"/>
  <c r="Q310" i="20"/>
  <c r="P310" i="20"/>
  <c r="Q290" i="20"/>
  <c r="P290" i="20"/>
  <c r="Q289" i="20"/>
  <c r="P289" i="20"/>
  <c r="Q288" i="20"/>
  <c r="P288" i="20"/>
  <c r="Q287" i="20"/>
  <c r="P287" i="20"/>
  <c r="Q282" i="20"/>
  <c r="P282" i="20"/>
  <c r="Q281" i="20"/>
  <c r="P281" i="20"/>
  <c r="Q271" i="20"/>
  <c r="P271" i="20"/>
  <c r="Q256" i="20"/>
  <c r="P256" i="20"/>
  <c r="Q255" i="20"/>
  <c r="P255" i="20"/>
  <c r="Q254" i="20"/>
  <c r="P254" i="20"/>
  <c r="Q252" i="20"/>
  <c r="Q249" i="20" s="1"/>
  <c r="P252" i="20"/>
  <c r="P249" i="20" s="1"/>
  <c r="Q246" i="20"/>
  <c r="P246" i="20"/>
  <c r="Q245" i="20"/>
  <c r="P245" i="20"/>
  <c r="Q244" i="20"/>
  <c r="P244" i="20"/>
  <c r="Q243" i="20"/>
  <c r="P243" i="20"/>
  <c r="Q242" i="20"/>
  <c r="P242" i="20"/>
  <c r="Q241" i="20"/>
  <c r="P241" i="20"/>
  <c r="Q240" i="20"/>
  <c r="P240" i="20"/>
  <c r="Q239" i="20"/>
  <c r="P239" i="20"/>
  <c r="N239" i="20"/>
  <c r="N238" i="20" s="1"/>
  <c r="N237" i="20" s="1"/>
  <c r="N233" i="20" s="1"/>
  <c r="K239" i="20"/>
  <c r="K238" i="20" s="1"/>
  <c r="K237" i="20" s="1"/>
  <c r="AO236" i="20"/>
  <c r="AA236" i="20"/>
  <c r="AA235" i="20" s="1"/>
  <c r="AA234" i="20" s="1"/>
  <c r="Q236" i="20"/>
  <c r="Q235" i="20" s="1"/>
  <c r="Q234" i="20" s="1"/>
  <c r="P236" i="20"/>
  <c r="P235" i="20" s="1"/>
  <c r="P234" i="20" s="1"/>
  <c r="AF232" i="20"/>
  <c r="W206" i="20"/>
  <c r="AG206" i="20" s="1"/>
  <c r="Q169" i="20"/>
  <c r="P169" i="20"/>
  <c r="Q171" i="20"/>
  <c r="P171" i="20"/>
  <c r="Q170" i="20"/>
  <c r="Q177" i="20"/>
  <c r="Q176" i="20" s="1"/>
  <c r="Q175" i="20" s="1"/>
  <c r="P177" i="20"/>
  <c r="P176" i="20" s="1"/>
  <c r="P175" i="20" s="1"/>
  <c r="Q166" i="20"/>
  <c r="P166" i="20"/>
  <c r="Q165" i="20"/>
  <c r="P165" i="20"/>
  <c r="Q162" i="20"/>
  <c r="P162" i="20"/>
  <c r="Q158" i="20"/>
  <c r="P158" i="20"/>
  <c r="Q153" i="20"/>
  <c r="Q152" i="20" s="1"/>
  <c r="Q151" i="20" s="1"/>
  <c r="P153" i="20"/>
  <c r="P152" i="20" s="1"/>
  <c r="P151" i="20" s="1"/>
  <c r="S157" i="20"/>
  <c r="Q157" i="20"/>
  <c r="P157" i="20"/>
  <c r="S156" i="20"/>
  <c r="Q156" i="20"/>
  <c r="P156" i="20"/>
  <c r="Q155" i="20"/>
  <c r="P155" i="20"/>
  <c r="Q150" i="20"/>
  <c r="P150" i="20"/>
  <c r="Q149" i="20"/>
  <c r="P149" i="20"/>
  <c r="AP145" i="20"/>
  <c r="AD148" i="20"/>
  <c r="AD146" i="20" s="1"/>
  <c r="AD145" i="20" s="1"/>
  <c r="Q148" i="20"/>
  <c r="P148" i="20"/>
  <c r="Q140" i="20"/>
  <c r="Q139" i="20" s="1"/>
  <c r="Q138" i="20" s="1"/>
  <c r="P140" i="20"/>
  <c r="P139" i="20" s="1"/>
  <c r="P138" i="20" s="1"/>
  <c r="Q127" i="20"/>
  <c r="P127" i="20"/>
  <c r="Q126" i="20"/>
  <c r="P126" i="20"/>
  <c r="Q125" i="20"/>
  <c r="P125" i="20"/>
  <c r="Q124" i="20"/>
  <c r="P124" i="20"/>
  <c r="Q128" i="20"/>
  <c r="P128" i="20"/>
  <c r="Q123" i="20"/>
  <c r="P123" i="20"/>
  <c r="Q120" i="20"/>
  <c r="Q119" i="20" s="1"/>
  <c r="Q118" i="20" s="1"/>
  <c r="P120" i="20"/>
  <c r="P119" i="20" s="1"/>
  <c r="P118" i="20" s="1"/>
  <c r="Q106" i="20"/>
  <c r="P106" i="20"/>
  <c r="Q104" i="20"/>
  <c r="P104" i="20"/>
  <c r="Q102" i="20"/>
  <c r="P102" i="20"/>
  <c r="Q90" i="20"/>
  <c r="P90" i="20"/>
  <c r="Q99" i="20"/>
  <c r="P99" i="20"/>
  <c r="Q98" i="20"/>
  <c r="P98" i="20"/>
  <c r="Q97" i="20"/>
  <c r="P97" i="20"/>
  <c r="Q96" i="20"/>
  <c r="P96" i="20"/>
  <c r="Q95" i="20"/>
  <c r="P95" i="20"/>
  <c r="Q94" i="20"/>
  <c r="P94" i="20"/>
  <c r="Q93" i="20"/>
  <c r="P93" i="20"/>
  <c r="AO87" i="20"/>
  <c r="AO86" i="20" s="1"/>
  <c r="AO85" i="20" s="1"/>
  <c r="Q87" i="20"/>
  <c r="Q86" i="20" s="1"/>
  <c r="Q85" i="20" s="1"/>
  <c r="P87" i="20"/>
  <c r="P86" i="20" s="1"/>
  <c r="P85" i="20" s="1"/>
  <c r="N87" i="20"/>
  <c r="N86" i="20" s="1"/>
  <c r="K87" i="20"/>
  <c r="K86" i="20" s="1"/>
  <c r="K85" i="20" s="1"/>
  <c r="Q89" i="20"/>
  <c r="Q88" i="20" s="1"/>
  <c r="P89" i="20"/>
  <c r="P88" i="20" s="1"/>
  <c r="Q78" i="20"/>
  <c r="P78" i="20"/>
  <c r="Q70" i="20"/>
  <c r="P70" i="20"/>
  <c r="Q69" i="20"/>
  <c r="P69" i="20"/>
  <c r="Q68" i="20"/>
  <c r="P68" i="20"/>
  <c r="Q67" i="20"/>
  <c r="P67" i="20"/>
  <c r="Q66" i="20"/>
  <c r="P66" i="20"/>
  <c r="Q65" i="20"/>
  <c r="P65" i="20"/>
  <c r="AO73" i="20"/>
  <c r="Q73" i="20"/>
  <c r="P73" i="20"/>
  <c r="P72" i="20" s="1"/>
  <c r="P71" i="20" s="1"/>
  <c r="AO63" i="20"/>
  <c r="AG63" i="20"/>
  <c r="AG62" i="20" s="1"/>
  <c r="S62" i="20"/>
  <c r="Q63" i="20"/>
  <c r="Q62" i="20" s="1"/>
  <c r="P63" i="20"/>
  <c r="P62" i="20" s="1"/>
  <c r="S39" i="20"/>
  <c r="I36" i="20"/>
  <c r="H36" i="20"/>
  <c r="I35" i="20"/>
  <c r="I34" i="20"/>
  <c r="H34" i="20"/>
  <c r="AZ33" i="20"/>
  <c r="AZ32" i="20"/>
  <c r="AB26" i="20"/>
  <c r="AH26" i="20" s="1"/>
  <c r="AZ19" i="20"/>
  <c r="AZ18" i="20" s="1"/>
  <c r="AZ17" i="20" s="1"/>
  <c r="AF18" i="20"/>
  <c r="AF17" i="20" s="1"/>
  <c r="AF16" i="20" s="1"/>
  <c r="AE18" i="20"/>
  <c r="AE17" i="20" s="1"/>
  <c r="AE16" i="20" s="1"/>
  <c r="AD18" i="20"/>
  <c r="AD17" i="20" s="1"/>
  <c r="AC18" i="20"/>
  <c r="AC17" i="20" s="1"/>
  <c r="AB18" i="20"/>
  <c r="AC26" i="20" s="1"/>
  <c r="X18" i="20"/>
  <c r="X17" i="20" s="1"/>
  <c r="X16" i="20" s="1"/>
  <c r="S18" i="20"/>
  <c r="S17" i="20" s="1"/>
  <c r="S16" i="20" s="1"/>
  <c r="AH88" i="20"/>
  <c r="AK410" i="20"/>
  <c r="AV243" i="20"/>
  <c r="AV314" i="20"/>
  <c r="AT314" i="20"/>
  <c r="AV289" i="20"/>
  <c r="AV242" i="20"/>
  <c r="AV245" i="20"/>
  <c r="AV288" i="20"/>
  <c r="AV271" i="20"/>
  <c r="AV241" i="20"/>
  <c r="AV312" i="20"/>
  <c r="AM152" i="20"/>
  <c r="AM151" i="20" s="1"/>
  <c r="AU73" i="20"/>
  <c r="AV97" i="20"/>
  <c r="AH406" i="20"/>
  <c r="AL363" i="20"/>
  <c r="AK363" i="20" s="1"/>
  <c r="AV364" i="20"/>
  <c r="BA143" i="20"/>
  <c r="AV104" i="20"/>
  <c r="AV69" i="20"/>
  <c r="AV126" i="20"/>
  <c r="AV123" i="20"/>
  <c r="AV93" i="20"/>
  <c r="AV78" i="20"/>
  <c r="AV169" i="20"/>
  <c r="AV148" i="20"/>
  <c r="AV94" i="20"/>
  <c r="BA171" i="20"/>
  <c r="AV125" i="20"/>
  <c r="AV73" i="20"/>
  <c r="AV127" i="20"/>
  <c r="BA189" i="20"/>
  <c r="BA170" i="20"/>
  <c r="AV70" i="20"/>
  <c r="AT67" i="20"/>
  <c r="AN457" i="20"/>
  <c r="AB139" i="20"/>
  <c r="N118" i="20"/>
  <c r="AB370" i="20"/>
  <c r="AM108" i="20"/>
  <c r="AL383" i="20"/>
  <c r="AN383" i="20"/>
  <c r="P383" i="20"/>
  <c r="S383" i="20"/>
  <c r="AH383" i="20"/>
  <c r="AG383" i="20"/>
  <c r="AN122" i="20"/>
  <c r="AN121" i="20" s="1"/>
  <c r="P108" i="20"/>
  <c r="K370" i="20"/>
  <c r="AK65" i="20"/>
  <c r="AL287" i="20"/>
  <c r="AP285" i="20"/>
  <c r="AP284" i="20" s="1"/>
  <c r="AQ61" i="20"/>
  <c r="AG162" i="20"/>
  <c r="AA162" i="20"/>
  <c r="AL162" i="20"/>
  <c r="AP162" i="20"/>
  <c r="N61" i="20"/>
  <c r="AA62" i="20"/>
  <c r="AK290" i="20"/>
  <c r="AK319" i="20"/>
  <c r="AO68" i="20"/>
  <c r="AL68" i="20"/>
  <c r="AL89" i="20"/>
  <c r="AL88" i="20" s="1"/>
  <c r="AL149" i="20"/>
  <c r="AK373" i="20"/>
  <c r="AL126" i="20"/>
  <c r="AL123" i="20"/>
  <c r="AO170" i="20"/>
  <c r="AK170" i="20" s="1"/>
  <c r="AK206" i="20"/>
  <c r="AL288" i="20"/>
  <c r="AL289" i="20"/>
  <c r="AL302" i="20"/>
  <c r="AO364" i="20"/>
  <c r="AL364" i="20"/>
  <c r="AK150" i="20"/>
  <c r="AL66" i="20"/>
  <c r="AL148" i="20"/>
  <c r="AP329" i="20"/>
  <c r="AL329" i="20" s="1"/>
  <c r="AL328" i="20" s="1"/>
  <c r="AL327" i="20" s="1"/>
  <c r="AL330" i="20"/>
  <c r="AO67" i="20"/>
  <c r="AL67" i="20"/>
  <c r="AO70" i="20"/>
  <c r="AK70" i="20" s="1"/>
  <c r="AL70" i="20"/>
  <c r="AO404" i="20"/>
  <c r="AO403" i="20" s="1"/>
  <c r="AL404" i="20"/>
  <c r="AL403" i="20" s="1"/>
  <c r="AL400" i="20" s="1"/>
  <c r="AK93" i="20"/>
  <c r="AL94" i="20"/>
  <c r="AO96" i="20"/>
  <c r="AO98" i="20"/>
  <c r="AK102" i="20"/>
  <c r="AK104" i="20"/>
  <c r="AO120" i="20"/>
  <c r="AL120" i="20"/>
  <c r="AL119" i="20" s="1"/>
  <c r="AL118" i="20" s="1"/>
  <c r="AL127" i="20"/>
  <c r="AO171" i="20"/>
  <c r="AK171" i="20" s="1"/>
  <c r="AL171" i="20"/>
  <c r="AK239" i="20"/>
  <c r="AK240" i="20"/>
  <c r="AK241" i="20"/>
  <c r="AK242" i="20"/>
  <c r="AK245" i="20"/>
  <c r="AK312" i="20"/>
  <c r="G36" i="20"/>
  <c r="G34" i="20"/>
  <c r="G35" i="20"/>
  <c r="P206" i="20"/>
  <c r="BA215" i="20"/>
  <c r="BA214" i="20"/>
  <c r="AT89" i="20"/>
  <c r="AT88" i="20" s="1"/>
  <c r="AU88" i="20"/>
  <c r="BA190" i="20"/>
  <c r="AV171" i="20"/>
  <c r="AV67" i="20"/>
  <c r="AV170" i="20"/>
  <c r="AV330" i="20"/>
  <c r="AV329" i="20" s="1"/>
  <c r="AV328" i="20" s="1"/>
  <c r="AV327" i="20" s="1"/>
  <c r="AV319" i="20"/>
  <c r="AV287" i="20"/>
  <c r="AV240" i="20"/>
  <c r="AU406" i="20"/>
  <c r="AH139" i="20"/>
  <c r="AH138" i="20" s="1"/>
  <c r="AV177" i="20"/>
  <c r="AV176" i="20" s="1"/>
  <c r="AV175" i="20" s="1"/>
  <c r="AV124" i="20"/>
  <c r="AV96" i="20"/>
  <c r="AV95" i="20"/>
  <c r="AH413" i="20"/>
  <c r="AG413" i="20"/>
  <c r="AO363" i="20"/>
  <c r="AK62" i="20"/>
  <c r="AK313" i="20"/>
  <c r="AK330" i="20"/>
  <c r="AL65" i="20"/>
  <c r="AK287" i="20"/>
  <c r="AK289" i="20"/>
  <c r="AK149" i="20"/>
  <c r="AK365" i="20"/>
  <c r="AK288" i="20"/>
  <c r="AO329" i="20"/>
  <c r="AK329" i="20" s="1"/>
  <c r="AK328" i="20" s="1"/>
  <c r="AK327" i="20" s="1"/>
  <c r="AV89" i="20"/>
  <c r="AV88" i="20" s="1"/>
  <c r="AV363" i="20"/>
  <c r="AV310" i="20"/>
  <c r="AV407" i="20"/>
  <c r="AV406" i="20" s="1"/>
  <c r="AT140" i="20"/>
  <c r="AT139" i="20" s="1"/>
  <c r="AT138" i="20" s="1"/>
  <c r="AU139" i="20"/>
  <c r="AU138" i="20" s="1"/>
  <c r="AV87" i="20"/>
  <c r="AV86" i="20" s="1"/>
  <c r="AV85" i="20" s="1"/>
  <c r="AO162" i="20"/>
  <c r="AV206" i="20"/>
  <c r="AV140" i="20"/>
  <c r="AV139" i="20" s="1"/>
  <c r="AV138" i="20" s="1"/>
  <c r="AM160" i="20"/>
  <c r="AK162" i="20"/>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AP315" i="20"/>
  <c r="Y315" i="20"/>
  <c r="AC315" i="20"/>
  <c r="AD315" i="20"/>
  <c r="S315" i="20"/>
  <c r="AE315" i="20"/>
  <c r="AA315" i="20"/>
  <c r="AB315" i="20"/>
  <c r="U315" i="20"/>
  <c r="X315" i="20"/>
  <c r="AF315" i="20"/>
  <c r="W315" i="20"/>
  <c r="T315" i="20"/>
  <c r="AR315" i="20"/>
  <c r="AQ315" i="20"/>
  <c r="AL97" i="20"/>
  <c r="AL372" i="20"/>
  <c r="AL371" i="20" s="1"/>
  <c r="AP371" i="20"/>
  <c r="AP370" i="20" s="1"/>
  <c r="AO372" i="20"/>
  <c r="AK372" i="20" s="1"/>
  <c r="D10" i="21" l="1"/>
  <c r="AT411" i="20"/>
  <c r="AT410" i="20" s="1"/>
  <c r="AN400" i="20"/>
  <c r="T398" i="20"/>
  <c r="E37" i="21"/>
  <c r="Y400" i="20"/>
  <c r="AH457" i="20"/>
  <c r="AG457" i="20"/>
  <c r="AH72" i="20"/>
  <c r="AH71" i="20" s="1"/>
  <c r="U61" i="20"/>
  <c r="U60" i="20" s="1"/>
  <c r="AB84" i="20"/>
  <c r="D18" i="21"/>
  <c r="G29" i="21"/>
  <c r="E35" i="21"/>
  <c r="H47" i="21"/>
  <c r="E29" i="21"/>
  <c r="D9" i="21"/>
  <c r="E36" i="21"/>
  <c r="H49" i="21"/>
  <c r="H54" i="21"/>
  <c r="I54" i="21" s="1"/>
  <c r="Y60" i="20"/>
  <c r="L297" i="20"/>
  <c r="E55" i="21"/>
  <c r="AO152" i="20"/>
  <c r="AO151" i="20" s="1"/>
  <c r="AH410" i="20"/>
  <c r="F53" i="21"/>
  <c r="F20" i="21"/>
  <c r="Q220" i="20"/>
  <c r="AH220" i="20"/>
  <c r="S61" i="20"/>
  <c r="AM400" i="20"/>
  <c r="J51" i="21"/>
  <c r="Q72" i="20"/>
  <c r="Q71" i="20" s="1"/>
  <c r="AR84" i="20"/>
  <c r="J220" i="20"/>
  <c r="J219" i="20" s="1"/>
  <c r="AC61" i="20"/>
  <c r="O84" i="20"/>
  <c r="AU410" i="20"/>
  <c r="M370" i="20"/>
  <c r="AS371" i="20"/>
  <c r="AY117" i="20"/>
  <c r="R286" i="20"/>
  <c r="R285" i="20" s="1"/>
  <c r="R284" i="20" s="1"/>
  <c r="AL220" i="20"/>
  <c r="AL219" i="20" s="1"/>
  <c r="R384" i="20"/>
  <c r="S220" i="20"/>
  <c r="S219" i="20" s="1"/>
  <c r="S203" i="20" s="1"/>
  <c r="AP384" i="20"/>
  <c r="AP383" i="20" s="1"/>
  <c r="AM220" i="20"/>
  <c r="AM219" i="20" s="1"/>
  <c r="J384" i="20"/>
  <c r="AV384" i="20"/>
  <c r="AV383" i="20" s="1"/>
  <c r="AO384" i="20"/>
  <c r="AO383" i="20" s="1"/>
  <c r="AK221" i="20"/>
  <c r="AK220" i="20" s="1"/>
  <c r="AO220" i="20"/>
  <c r="AJ332" i="20"/>
  <c r="AN220" i="20"/>
  <c r="AN219" i="20" s="1"/>
  <c r="AW436" i="20"/>
  <c r="AW434" i="20" s="1"/>
  <c r="BA438" i="20"/>
  <c r="AC384" i="20"/>
  <c r="AC383" i="20" s="1"/>
  <c r="AC358" i="20" s="1"/>
  <c r="AT213" i="20"/>
  <c r="AW213" i="20"/>
  <c r="R220" i="20"/>
  <c r="R219" i="20" s="1"/>
  <c r="AR384" i="20"/>
  <c r="AR383" i="20" s="1"/>
  <c r="AK384" i="20"/>
  <c r="AK383" i="20" s="1"/>
  <c r="AG220" i="20"/>
  <c r="AV220" i="20"/>
  <c r="AV219" i="20" s="1"/>
  <c r="AM168" i="20"/>
  <c r="AM167" i="20" s="1"/>
  <c r="AV66" i="20"/>
  <c r="AT244" i="20"/>
  <c r="AG362" i="20"/>
  <c r="AG359" i="20" s="1"/>
  <c r="AH119" i="20"/>
  <c r="AH118" i="20" s="1"/>
  <c r="AT66" i="20"/>
  <c r="AN316" i="20"/>
  <c r="AH360" i="20"/>
  <c r="AX84" i="20"/>
  <c r="U84" i="20"/>
  <c r="AK72" i="20"/>
  <c r="AK71" i="20" s="1"/>
  <c r="AT366" i="20"/>
  <c r="AJ434" i="20"/>
  <c r="AJ55" i="20" s="1"/>
  <c r="R226" i="20"/>
  <c r="N297" i="20"/>
  <c r="Z84" i="20"/>
  <c r="M297" i="20"/>
  <c r="M400" i="20"/>
  <c r="AM457" i="20"/>
  <c r="AW284" i="20"/>
  <c r="J101" i="20"/>
  <c r="J100" i="20" s="1"/>
  <c r="J84" i="20" s="1"/>
  <c r="AD400" i="20"/>
  <c r="AD399" i="20" s="1"/>
  <c r="AD398" i="20" s="1"/>
  <c r="V400" i="20"/>
  <c r="AE297" i="20"/>
  <c r="S297" i="20"/>
  <c r="K137" i="20"/>
  <c r="Y297" i="20"/>
  <c r="AA297" i="20"/>
  <c r="AD297" i="20"/>
  <c r="X297" i="20"/>
  <c r="AU362" i="20"/>
  <c r="AU359" i="20" s="1"/>
  <c r="AL457" i="20"/>
  <c r="AK332" i="20"/>
  <c r="AE370" i="20"/>
  <c r="AE358" i="20" s="1"/>
  <c r="AU261" i="20"/>
  <c r="AU260" i="20" s="1"/>
  <c r="AC297" i="20"/>
  <c r="AY84" i="20"/>
  <c r="S360" i="20"/>
  <c r="S359" i="20" s="1"/>
  <c r="R261" i="20"/>
  <c r="R260" i="20" s="1"/>
  <c r="AP84" i="20"/>
  <c r="AB297" i="20"/>
  <c r="AX370" i="20"/>
  <c r="AX358" i="20" s="1"/>
  <c r="X84" i="20"/>
  <c r="AR297" i="20"/>
  <c r="AS261" i="20"/>
  <c r="AS260" i="20" s="1"/>
  <c r="AR161" i="20"/>
  <c r="AQ297" i="20"/>
  <c r="W297" i="20"/>
  <c r="AQ359" i="20"/>
  <c r="AQ358" i="20" s="1"/>
  <c r="J286" i="20"/>
  <c r="J285" i="20" s="1"/>
  <c r="AV261" i="20"/>
  <c r="AV260" i="20" s="1"/>
  <c r="AP297" i="20"/>
  <c r="U297" i="20"/>
  <c r="R316" i="20"/>
  <c r="R315" i="20" s="1"/>
  <c r="R297" i="20" s="1"/>
  <c r="AM72" i="20"/>
  <c r="AM71" i="20" s="1"/>
  <c r="T84" i="20"/>
  <c r="AF297" i="20"/>
  <c r="T297" i="20"/>
  <c r="K61" i="20"/>
  <c r="K60" i="20" s="1"/>
  <c r="AJ400" i="20"/>
  <c r="AJ399" i="20" s="1"/>
  <c r="J316" i="20"/>
  <c r="J315" i="20" s="1"/>
  <c r="J297" i="20" s="1"/>
  <c r="R77" i="20"/>
  <c r="R76" i="20" s="1"/>
  <c r="AR332" i="20"/>
  <c r="AL261" i="20"/>
  <c r="AL260" i="20" s="1"/>
  <c r="AO122" i="20"/>
  <c r="AH403" i="20"/>
  <c r="AH400" i="20" s="1"/>
  <c r="AH399" i="20" s="1"/>
  <c r="K84" i="20"/>
  <c r="P170" i="20"/>
  <c r="P168" i="20" s="1"/>
  <c r="P167" i="20" s="1"/>
  <c r="P161" i="20" s="1"/>
  <c r="AG101" i="20"/>
  <c r="AG100" i="20" s="1"/>
  <c r="AG65" i="20"/>
  <c r="AD161" i="20"/>
  <c r="AA172" i="20"/>
  <c r="AA168" i="20" s="1"/>
  <c r="AA167" i="20" s="1"/>
  <c r="AV371" i="20"/>
  <c r="Q410" i="20"/>
  <c r="AQ84" i="20"/>
  <c r="AC117" i="20"/>
  <c r="AT172" i="20"/>
  <c r="AO316" i="20"/>
  <c r="AO315" i="20" s="1"/>
  <c r="AO297" i="20" s="1"/>
  <c r="S84" i="20"/>
  <c r="AA161" i="20"/>
  <c r="AG170" i="20"/>
  <c r="AN72" i="20"/>
  <c r="AN71" i="20" s="1"/>
  <c r="V86" i="20"/>
  <c r="V85" i="20" s="1"/>
  <c r="AU310" i="20"/>
  <c r="AU309" i="20" s="1"/>
  <c r="AU308" i="20" s="1"/>
  <c r="AL399" i="20"/>
  <c r="AL398" i="20" s="1"/>
  <c r="AK89" i="20"/>
  <c r="AK88" i="20" s="1"/>
  <c r="AV146" i="20"/>
  <c r="AV145" i="20" s="1"/>
  <c r="AF61" i="20"/>
  <c r="AP238" i="20"/>
  <c r="AP237" i="20" s="1"/>
  <c r="AE60" i="20"/>
  <c r="W84" i="20"/>
  <c r="T161" i="20"/>
  <c r="R362" i="20"/>
  <c r="R359" i="20" s="1"/>
  <c r="AB168" i="20"/>
  <c r="AB167" i="20" s="1"/>
  <c r="AA400" i="20"/>
  <c r="AA399" i="20" s="1"/>
  <c r="AA398" i="20" s="1"/>
  <c r="AM309" i="20"/>
  <c r="AM308" i="20" s="1"/>
  <c r="AM286" i="20"/>
  <c r="AM285" i="20" s="1"/>
  <c r="AM284" i="20" s="1"/>
  <c r="AD84" i="20"/>
  <c r="AT65" i="20"/>
  <c r="AH64" i="20"/>
  <c r="AH61" i="20" s="1"/>
  <c r="AH362" i="20"/>
  <c r="Q362" i="20"/>
  <c r="Q359" i="20" s="1"/>
  <c r="AG316" i="20"/>
  <c r="AG315" i="20" s="1"/>
  <c r="AN315" i="20"/>
  <c r="T359" i="20"/>
  <c r="AX180" i="20"/>
  <c r="AH316" i="20"/>
  <c r="AH315" i="20" s="1"/>
  <c r="AH297" i="20" s="1"/>
  <c r="AC359" i="20"/>
  <c r="AV316" i="20"/>
  <c r="AV315" i="20" s="1"/>
  <c r="P434" i="20"/>
  <c r="AW315" i="20"/>
  <c r="AM316" i="20"/>
  <c r="AM315" i="20" s="1"/>
  <c r="AM297" i="20" s="1"/>
  <c r="P316" i="20"/>
  <c r="P315" i="20" s="1"/>
  <c r="AL316" i="20"/>
  <c r="AL315" i="20" s="1"/>
  <c r="AL297" i="20" s="1"/>
  <c r="L84" i="20"/>
  <c r="Z117" i="20"/>
  <c r="AY180" i="20"/>
  <c r="AE180" i="20"/>
  <c r="W180" i="20"/>
  <c r="Q316" i="20"/>
  <c r="Q315" i="20" s="1"/>
  <c r="AE84" i="20"/>
  <c r="X117" i="20"/>
  <c r="AV48" i="20"/>
  <c r="AS316" i="20"/>
  <c r="AS315" i="20" s="1"/>
  <c r="AS297" i="20" s="1"/>
  <c r="AP299" i="20"/>
  <c r="AP298" i="20" s="1"/>
  <c r="AG77" i="20"/>
  <c r="AG76" i="20" s="1"/>
  <c r="AL101" i="20"/>
  <c r="AL100" i="20" s="1"/>
  <c r="AO301" i="20"/>
  <c r="AK301" i="20" s="1"/>
  <c r="AK299" i="20" s="1"/>
  <c r="AK298" i="20" s="1"/>
  <c r="AG236" i="20"/>
  <c r="AG235" i="20" s="1"/>
  <c r="AG234" i="20" s="1"/>
  <c r="AB138" i="20"/>
  <c r="AB137" i="20" s="1"/>
  <c r="Q299" i="20"/>
  <c r="Q298" i="20" s="1"/>
  <c r="AN77" i="20"/>
  <c r="AN76" i="20" s="1"/>
  <c r="AF84" i="20"/>
  <c r="AT377" i="20"/>
  <c r="AM77" i="20"/>
  <c r="AM76" i="20" s="1"/>
  <c r="AQ239" i="20"/>
  <c r="V142" i="20"/>
  <c r="V141" i="20" s="1"/>
  <c r="X206" i="20"/>
  <c r="Q206" i="20" s="1"/>
  <c r="AG309" i="20"/>
  <c r="AG308" i="20" s="1"/>
  <c r="AM299" i="20"/>
  <c r="AM298" i="20" s="1"/>
  <c r="AL77" i="20"/>
  <c r="AL76" i="20" s="1"/>
  <c r="J161" i="20"/>
  <c r="J370" i="20"/>
  <c r="P77" i="20"/>
  <c r="P76" i="20" s="1"/>
  <c r="AC84" i="20"/>
  <c r="J61" i="20"/>
  <c r="Q77" i="20"/>
  <c r="Q76" i="20" s="1"/>
  <c r="AF161" i="20"/>
  <c r="AO77" i="20"/>
  <c r="AO76" i="20" s="1"/>
  <c r="AE161" i="20"/>
  <c r="AH77" i="20"/>
  <c r="AH76" i="20" s="1"/>
  <c r="N117" i="20"/>
  <c r="J77" i="20"/>
  <c r="J76" i="20" s="1"/>
  <c r="AU77" i="20"/>
  <c r="AU76" i="20" s="1"/>
  <c r="AS77" i="20"/>
  <c r="AS76" i="20" s="1"/>
  <c r="AU64" i="20"/>
  <c r="AU61" i="20" s="1"/>
  <c r="AV72" i="20"/>
  <c r="AV71" i="20" s="1"/>
  <c r="AV77" i="20"/>
  <c r="AV76" i="20" s="1"/>
  <c r="AB60" i="20"/>
  <c r="Q146" i="20"/>
  <c r="Q145" i="20" s="1"/>
  <c r="AD61" i="20"/>
  <c r="AD60" i="20" s="1"/>
  <c r="U137" i="20"/>
  <c r="Z359" i="20"/>
  <c r="N359" i="20"/>
  <c r="N358" i="20" s="1"/>
  <c r="AQ400" i="20"/>
  <c r="AQ399" i="20" s="1"/>
  <c r="AQ398" i="20" s="1"/>
  <c r="S400" i="20"/>
  <c r="S399" i="20" s="1"/>
  <c r="S398" i="20" s="1"/>
  <c r="L434" i="20"/>
  <c r="T434" i="20"/>
  <c r="AB434" i="20"/>
  <c r="V92" i="20"/>
  <c r="V91" i="20" s="1"/>
  <c r="M359" i="20"/>
  <c r="M358" i="20" s="1"/>
  <c r="AB332" i="20"/>
  <c r="AI332" i="20"/>
  <c r="AD180" i="20"/>
  <c r="V180" i="20"/>
  <c r="AP415" i="20"/>
  <c r="AS432" i="20"/>
  <c r="AS415" i="20" s="1"/>
  <c r="W358" i="20"/>
  <c r="O117" i="20"/>
  <c r="J362" i="20"/>
  <c r="J359" i="20" s="1"/>
  <c r="O400" i="20"/>
  <c r="O399" i="20" s="1"/>
  <c r="O398" i="20" s="1"/>
  <c r="AA180" i="20"/>
  <c r="S180" i="20"/>
  <c r="M180" i="20"/>
  <c r="AW139" i="20"/>
  <c r="AW138" i="20" s="1"/>
  <c r="AK275" i="20"/>
  <c r="AK274" i="20" s="1"/>
  <c r="AV362" i="20"/>
  <c r="O60" i="20"/>
  <c r="AB23" i="20"/>
  <c r="AH23" i="20" s="1"/>
  <c r="AH92" i="20"/>
  <c r="AH91" i="20" s="1"/>
  <c r="AU177" i="20"/>
  <c r="AU176" i="20" s="1"/>
  <c r="AU175" i="20" s="1"/>
  <c r="AU371" i="20"/>
  <c r="T61" i="20"/>
  <c r="T60" i="20" s="1"/>
  <c r="AR370" i="20"/>
  <c r="V299" i="20"/>
  <c r="V298" i="20" s="1"/>
  <c r="AY61" i="20"/>
  <c r="AY60" i="20" s="1"/>
  <c r="AF359" i="20"/>
  <c r="AF358" i="20" s="1"/>
  <c r="AI400" i="20"/>
  <c r="AV457" i="20"/>
  <c r="AO286" i="20"/>
  <c r="AO285" i="20" s="1"/>
  <c r="AO284" i="20" s="1"/>
  <c r="AX61" i="20"/>
  <c r="AX60" i="20" s="1"/>
  <c r="AO332" i="20"/>
  <c r="X434" i="20"/>
  <c r="AF434" i="20"/>
  <c r="AF28" i="20" s="1"/>
  <c r="AG434" i="20"/>
  <c r="AA434" i="20"/>
  <c r="AI434" i="20"/>
  <c r="AI55" i="20" s="1"/>
  <c r="AU434" i="20"/>
  <c r="AT378" i="20"/>
  <c r="Q275" i="20"/>
  <c r="Q274" i="20" s="1"/>
  <c r="AV286" i="20"/>
  <c r="AV285" i="20" s="1"/>
  <c r="S60" i="20"/>
  <c r="J400" i="20"/>
  <c r="L400" i="20"/>
  <c r="L399" i="20" s="1"/>
  <c r="L398" i="20" s="1"/>
  <c r="AG332" i="20"/>
  <c r="AO217" i="20"/>
  <c r="AO216" i="20" s="1"/>
  <c r="AS143" i="20"/>
  <c r="AS142" i="20" s="1"/>
  <c r="AS141" i="20" s="1"/>
  <c r="V139" i="20"/>
  <c r="V138" i="20" s="1"/>
  <c r="AU273" i="20"/>
  <c r="AT273" i="20" s="1"/>
  <c r="AO187" i="20"/>
  <c r="AO186" i="20" s="1"/>
  <c r="AF180" i="20"/>
  <c r="X180" i="20"/>
  <c r="AN371" i="20"/>
  <c r="AC180" i="20"/>
  <c r="U180" i="20"/>
  <c r="O180" i="20"/>
  <c r="Q309" i="20"/>
  <c r="Q308" i="20" s="1"/>
  <c r="AR180" i="20"/>
  <c r="AG188" i="20"/>
  <c r="AG187" i="20" s="1"/>
  <c r="AG186" i="20" s="1"/>
  <c r="Z180" i="20"/>
  <c r="L180" i="20"/>
  <c r="W332" i="20"/>
  <c r="AU96" i="20"/>
  <c r="AT96" i="20" s="1"/>
  <c r="Y85" i="20"/>
  <c r="Y84" i="20" s="1"/>
  <c r="M85" i="20"/>
  <c r="M84" i="20" s="1"/>
  <c r="AQ332" i="20"/>
  <c r="AB180" i="20"/>
  <c r="T180" i="20"/>
  <c r="N180" i="20"/>
  <c r="R142" i="20"/>
  <c r="R141" i="20" s="1"/>
  <c r="AS273" i="20"/>
  <c r="R375" i="20"/>
  <c r="R370" i="20" s="1"/>
  <c r="AQ180" i="20"/>
  <c r="Y180" i="20"/>
  <c r="P275" i="20"/>
  <c r="P274" i="20" s="1"/>
  <c r="N85" i="20"/>
  <c r="N84" i="20" s="1"/>
  <c r="AH299" i="20"/>
  <c r="AH298" i="20" s="1"/>
  <c r="R122" i="20"/>
  <c r="R121" i="20" s="1"/>
  <c r="R117" i="20" s="1"/>
  <c r="AN48" i="20"/>
  <c r="AN42" i="20" s="1"/>
  <c r="R332" i="20"/>
  <c r="AG89" i="20"/>
  <c r="AG88" i="20" s="1"/>
  <c r="AL252" i="20"/>
  <c r="AL249" i="20" s="1"/>
  <c r="AC60" i="20"/>
  <c r="Y161" i="20"/>
  <c r="V62" i="20"/>
  <c r="V61" i="20" s="1"/>
  <c r="V60" i="20" s="1"/>
  <c r="AP72" i="20"/>
  <c r="AP71" i="20" s="1"/>
  <c r="AP60" i="20" s="1"/>
  <c r="AB400" i="20"/>
  <c r="AB399" i="20" s="1"/>
  <c r="AB398" i="20" s="1"/>
  <c r="AK361" i="20"/>
  <c r="AK360" i="20" s="1"/>
  <c r="V332" i="20"/>
  <c r="AE332" i="20"/>
  <c r="Y332" i="20"/>
  <c r="N434" i="20"/>
  <c r="V434" i="20"/>
  <c r="AN434" i="20"/>
  <c r="AN47" i="20" s="1"/>
  <c r="AO439" i="20"/>
  <c r="AS183" i="20"/>
  <c r="AG182" i="20"/>
  <c r="AG181" i="20" s="1"/>
  <c r="AM146" i="20"/>
  <c r="AM145" i="20" s="1"/>
  <c r="X60" i="20"/>
  <c r="K161" i="20"/>
  <c r="AR117" i="20"/>
  <c r="AM101" i="20"/>
  <c r="AM100" i="20" s="1"/>
  <c r="V119" i="20"/>
  <c r="V118" i="20" s="1"/>
  <c r="AL174" i="20"/>
  <c r="AK174" i="20" s="1"/>
  <c r="X359" i="20"/>
  <c r="O434" i="20"/>
  <c r="W434" i="20"/>
  <c r="AE434" i="20"/>
  <c r="AE28" i="20" s="1"/>
  <c r="AK377" i="20"/>
  <c r="AW370" i="20"/>
  <c r="AP137" i="20"/>
  <c r="M60" i="20"/>
  <c r="AT407" i="20"/>
  <c r="AT406" i="20" s="1"/>
  <c r="P64" i="20"/>
  <c r="P61" i="20" s="1"/>
  <c r="P299" i="20"/>
  <c r="P298" i="20" s="1"/>
  <c r="AM362" i="20"/>
  <c r="AM359" i="20" s="1"/>
  <c r="AM371" i="20"/>
  <c r="AN299" i="20"/>
  <c r="AN298" i="20" s="1"/>
  <c r="AQ161" i="20"/>
  <c r="AO101" i="20"/>
  <c r="AO100" i="20" s="1"/>
  <c r="AK367" i="20"/>
  <c r="AV332" i="20"/>
  <c r="S332" i="20"/>
  <c r="AN375" i="20"/>
  <c r="AG142" i="20"/>
  <c r="AG141" i="20" s="1"/>
  <c r="AN92" i="20"/>
  <c r="AN91" i="20" s="1"/>
  <c r="AY137" i="20"/>
  <c r="AF400" i="20"/>
  <c r="X400" i="20"/>
  <c r="X399" i="20" s="1"/>
  <c r="X398" i="20" s="1"/>
  <c r="AM187" i="20"/>
  <c r="AM186" i="20" s="1"/>
  <c r="AQ60" i="20"/>
  <c r="G33" i="20"/>
  <c r="AG238" i="20"/>
  <c r="AG237" i="20" s="1"/>
  <c r="AG233" i="20" s="1"/>
  <c r="AF60" i="20"/>
  <c r="O161" i="20"/>
  <c r="X233" i="20"/>
  <c r="R64" i="20"/>
  <c r="R61" i="20" s="1"/>
  <c r="V122" i="20"/>
  <c r="V121" i="20" s="1"/>
  <c r="AY161" i="20"/>
  <c r="AT367" i="20"/>
  <c r="AW361" i="20"/>
  <c r="J269" i="20"/>
  <c r="J268" i="20" s="1"/>
  <c r="J259" i="20" s="1"/>
  <c r="AH275" i="20"/>
  <c r="AH274" i="20" s="1"/>
  <c r="X358" i="20"/>
  <c r="AO168" i="20"/>
  <c r="AO167" i="20" s="1"/>
  <c r="AB17" i="20"/>
  <c r="AZ31" i="20" s="1"/>
  <c r="AL87" i="20"/>
  <c r="AL86" i="20" s="1"/>
  <c r="AL85" i="20" s="1"/>
  <c r="AH329" i="20"/>
  <c r="AH328" i="20" s="1"/>
  <c r="AH327" i="20" s="1"/>
  <c r="L60" i="20"/>
  <c r="AA117" i="20"/>
  <c r="AT97" i="20"/>
  <c r="AS97" i="20" s="1"/>
  <c r="K359" i="20"/>
  <c r="K358" i="20" s="1"/>
  <c r="U332" i="20"/>
  <c r="AD332" i="20"/>
  <c r="AM332" i="20"/>
  <c r="J130" i="20"/>
  <c r="J129" i="20" s="1"/>
  <c r="J117" i="20" s="1"/>
  <c r="Q219" i="20"/>
  <c r="AH266" i="20"/>
  <c r="AU266" i="20" s="1"/>
  <c r="AW266" i="20" s="1"/>
  <c r="AM64" i="20"/>
  <c r="AM61" i="20" s="1"/>
  <c r="AN168" i="20"/>
  <c r="AN167" i="20" s="1"/>
  <c r="AN161" i="20" s="1"/>
  <c r="AS168" i="20"/>
  <c r="AS167" i="20" s="1"/>
  <c r="AS161" i="20" s="1"/>
  <c r="AD117" i="20"/>
  <c r="AO406" i="20"/>
  <c r="Q286" i="20"/>
  <c r="Q285" i="20" s="1"/>
  <c r="Q284" i="20" s="1"/>
  <c r="Q371" i="20"/>
  <c r="AG299" i="20"/>
  <c r="AG298" i="20" s="1"/>
  <c r="W117" i="20"/>
  <c r="N161" i="20"/>
  <c r="U161" i="20"/>
  <c r="R101" i="20"/>
  <c r="R100" i="20" s="1"/>
  <c r="V238" i="20"/>
  <c r="V237" i="20" s="1"/>
  <c r="V233" i="20" s="1"/>
  <c r="AO74" i="20"/>
  <c r="AK366" i="20"/>
  <c r="AV447" i="20"/>
  <c r="AT380" i="20"/>
  <c r="AM130" i="20"/>
  <c r="AM129" i="20" s="1"/>
  <c r="AU432" i="20"/>
  <c r="AT432" i="20" s="1"/>
  <c r="AO142" i="20"/>
  <c r="AK142" i="20"/>
  <c r="AK141" i="20" s="1"/>
  <c r="AK101" i="20"/>
  <c r="AK100" i="20" s="1"/>
  <c r="AK404" i="20"/>
  <c r="AK403" i="20" s="1"/>
  <c r="AK400" i="20" s="1"/>
  <c r="AK399" i="20" s="1"/>
  <c r="AK398" i="20" s="1"/>
  <c r="AV309" i="20"/>
  <c r="AV308" i="20" s="1"/>
  <c r="AL299" i="20"/>
  <c r="AL298" i="20" s="1"/>
  <c r="AQ328" i="20"/>
  <c r="AQ327" i="20" s="1"/>
  <c r="AH371" i="20"/>
  <c r="Z161" i="20"/>
  <c r="M161" i="20"/>
  <c r="AK110" i="20"/>
  <c r="AK109" i="20" s="1"/>
  <c r="AK108" i="20" s="1"/>
  <c r="AS332" i="20"/>
  <c r="S434" i="20"/>
  <c r="R439" i="20"/>
  <c r="R434" i="20" s="1"/>
  <c r="AH130" i="20"/>
  <c r="AH129" i="20" s="1"/>
  <c r="AT416" i="20"/>
  <c r="AU218" i="20"/>
  <c r="AT218" i="20" s="1"/>
  <c r="AT217" i="20" s="1"/>
  <c r="AT216" i="20" s="1"/>
  <c r="AL48" i="20"/>
  <c r="AK368" i="20"/>
  <c r="P146" i="20"/>
  <c r="P145" i="20" s="1"/>
  <c r="AB117" i="20"/>
  <c r="S117" i="20"/>
  <c r="AT368" i="20"/>
  <c r="AK323" i="20"/>
  <c r="AV291" i="20"/>
  <c r="AF332" i="20"/>
  <c r="AN332" i="20"/>
  <c r="P142" i="20"/>
  <c r="P141" i="20" s="1"/>
  <c r="Q130" i="20"/>
  <c r="Q129" i="20" s="1"/>
  <c r="AM142" i="20"/>
  <c r="AM141" i="20" s="1"/>
  <c r="N60" i="20"/>
  <c r="AO432" i="20"/>
  <c r="AO415" i="20" s="1"/>
  <c r="AU72" i="20"/>
  <c r="AU71" i="20" s="1"/>
  <c r="O137" i="20"/>
  <c r="AM192" i="20"/>
  <c r="AM191" i="20" s="1"/>
  <c r="AL142" i="20"/>
  <c r="AL141" i="20" s="1"/>
  <c r="AV275" i="20"/>
  <c r="AV274" i="20" s="1"/>
  <c r="P371" i="20"/>
  <c r="AU248" i="20"/>
  <c r="AT248" i="20" s="1"/>
  <c r="AT247" i="20" s="1"/>
  <c r="V88" i="20"/>
  <c r="AB362" i="20"/>
  <c r="AB359" i="20" s="1"/>
  <c r="AB358" i="20" s="1"/>
  <c r="AH332" i="20"/>
  <c r="Q434" i="20"/>
  <c r="Y434" i="20"/>
  <c r="AS434" i="20"/>
  <c r="AO182" i="20"/>
  <c r="AO181" i="20" s="1"/>
  <c r="X259" i="20"/>
  <c r="AW98" i="20"/>
  <c r="AT98" i="20"/>
  <c r="U327" i="20"/>
  <c r="AO175" i="20"/>
  <c r="AO260" i="20"/>
  <c r="AK168" i="20"/>
  <c r="AK167" i="20" s="1"/>
  <c r="AK161" i="20" s="1"/>
  <c r="AO299" i="20"/>
  <c r="AN117" i="20"/>
  <c r="AP328" i="20"/>
  <c r="AP327" i="20" s="1"/>
  <c r="AK311" i="20"/>
  <c r="AK238" i="20"/>
  <c r="AK237" i="20" s="1"/>
  <c r="AR60" i="20"/>
  <c r="AH18" i="20"/>
  <c r="P92" i="20"/>
  <c r="P91" i="20" s="1"/>
  <c r="AD137" i="20"/>
  <c r="P399" i="20"/>
  <c r="P398" i="20" s="1"/>
  <c r="AG64" i="20"/>
  <c r="AG61" i="20" s="1"/>
  <c r="AD358" i="20"/>
  <c r="AQ117" i="20"/>
  <c r="Y117" i="20"/>
  <c r="AF137" i="20"/>
  <c r="Z137" i="20"/>
  <c r="W161" i="20"/>
  <c r="M233" i="20"/>
  <c r="W60" i="20"/>
  <c r="AM434" i="20"/>
  <c r="AM47" i="20" s="1"/>
  <c r="J434" i="20"/>
  <c r="Z434" i="20"/>
  <c r="AH376" i="20"/>
  <c r="AU376" i="20" s="1"/>
  <c r="AU375" i="20" s="1"/>
  <c r="P375" i="20"/>
  <c r="P219" i="20"/>
  <c r="AV400" i="20"/>
  <c r="AV399" i="20" s="1"/>
  <c r="AV398" i="20" s="1"/>
  <c r="AO275" i="20"/>
  <c r="AO274" i="20" s="1"/>
  <c r="T259" i="20"/>
  <c r="O259" i="20"/>
  <c r="AO362" i="20"/>
  <c r="AA61" i="20"/>
  <c r="AA60" i="20" s="1"/>
  <c r="AK371" i="20"/>
  <c r="AO235" i="20"/>
  <c r="X328" i="20"/>
  <c r="X327" i="20" s="1"/>
  <c r="P238" i="20"/>
  <c r="P237" i="20" s="1"/>
  <c r="P233" i="20" s="1"/>
  <c r="P309" i="20"/>
  <c r="P308" i="20" s="1"/>
  <c r="AG146" i="20"/>
  <c r="AG145" i="20" s="1"/>
  <c r="AG122" i="20"/>
  <c r="AG121" i="20" s="1"/>
  <c r="AM122" i="20"/>
  <c r="AM121" i="20" s="1"/>
  <c r="AN101" i="20"/>
  <c r="AN100" i="20" s="1"/>
  <c r="AM92" i="20"/>
  <c r="AM91" i="20" s="1"/>
  <c r="AN64" i="20"/>
  <c r="AN61" i="20" s="1"/>
  <c r="Z60" i="20"/>
  <c r="AE400" i="20"/>
  <c r="AE399" i="20" s="1"/>
  <c r="AE398" i="20" s="1"/>
  <c r="N400" i="20"/>
  <c r="N399" i="20" s="1"/>
  <c r="N398" i="20" s="1"/>
  <c r="AA376" i="20"/>
  <c r="AG376" i="20" s="1"/>
  <c r="AG375" i="20" s="1"/>
  <c r="AO192" i="20"/>
  <c r="AN192" i="20"/>
  <c r="AN191" i="20" s="1"/>
  <c r="R265" i="20"/>
  <c r="R264" i="20" s="1"/>
  <c r="G37" i="20"/>
  <c r="P122" i="20"/>
  <c r="P121" i="20" s="1"/>
  <c r="Q399" i="20"/>
  <c r="AG371" i="20"/>
  <c r="AG286" i="20"/>
  <c r="AG285" i="20" s="1"/>
  <c r="AG284" i="20" s="1"/>
  <c r="AM399" i="20"/>
  <c r="AM398" i="20" s="1"/>
  <c r="AN362" i="20"/>
  <c r="AN359" i="20" s="1"/>
  <c r="AN309" i="20"/>
  <c r="AN308" i="20" s="1"/>
  <c r="AN286" i="20"/>
  <c r="AN285" i="20" s="1"/>
  <c r="AN284" i="20" s="1"/>
  <c r="AN238" i="20"/>
  <c r="AN237" i="20" s="1"/>
  <c r="AN233" i="20" s="1"/>
  <c r="AL238" i="20"/>
  <c r="AL237" i="20" s="1"/>
  <c r="AT374" i="20"/>
  <c r="J383" i="20"/>
  <c r="R415" i="20"/>
  <c r="AG226" i="20"/>
  <c r="Q92" i="20"/>
  <c r="Q91" i="20" s="1"/>
  <c r="Q101" i="20"/>
  <c r="Q100" i="20" s="1"/>
  <c r="P286" i="20"/>
  <c r="P285" i="20" s="1"/>
  <c r="P284" i="20" s="1"/>
  <c r="AT146" i="20"/>
  <c r="AT145" i="20" s="1"/>
  <c r="U117" i="20"/>
  <c r="R146" i="20"/>
  <c r="R145" i="20" s="1"/>
  <c r="AO412" i="20"/>
  <c r="AC399" i="20"/>
  <c r="AC398" i="20" s="1"/>
  <c r="AR434" i="20"/>
  <c r="AC434" i="20"/>
  <c r="AL434" i="20"/>
  <c r="AL47" i="20" s="1"/>
  <c r="AO238" i="20"/>
  <c r="U358" i="20"/>
  <c r="AN187" i="20"/>
  <c r="AN186" i="20" s="1"/>
  <c r="K192" i="20"/>
  <c r="K191" i="20" s="1"/>
  <c r="K180" i="20" s="1"/>
  <c r="AV415" i="20"/>
  <c r="AU270" i="20"/>
  <c r="AT270" i="20" s="1"/>
  <c r="AN275" i="20"/>
  <c r="AN274" i="20" s="1"/>
  <c r="AM275" i="20"/>
  <c r="AM274" i="20" s="1"/>
  <c r="AL64" i="20"/>
  <c r="AL61" i="20" s="1"/>
  <c r="T358" i="20"/>
  <c r="L137" i="20"/>
  <c r="AM48" i="20"/>
  <c r="Z332" i="20"/>
  <c r="AS187" i="20"/>
  <c r="AS186" i="20" s="1"/>
  <c r="AL415" i="20"/>
  <c r="AL362" i="20"/>
  <c r="AL359" i="20" s="1"/>
  <c r="Q64" i="20"/>
  <c r="Q61" i="20" s="1"/>
  <c r="Q122" i="20"/>
  <c r="Q121" i="20" s="1"/>
  <c r="AH168" i="20"/>
  <c r="AH167" i="20" s="1"/>
  <c r="AH161" i="20" s="1"/>
  <c r="AR137" i="20"/>
  <c r="AS238" i="20"/>
  <c r="AS237" i="20" s="1"/>
  <c r="AS233" i="20" s="1"/>
  <c r="V161" i="20"/>
  <c r="AP400" i="20"/>
  <c r="AP399" i="20" s="1"/>
  <c r="AP398" i="20" s="1"/>
  <c r="AP359" i="20"/>
  <c r="Y359" i="20"/>
  <c r="Y358" i="20" s="1"/>
  <c r="L359" i="20"/>
  <c r="L358" i="20" s="1"/>
  <c r="AW362" i="20"/>
  <c r="AL265" i="20"/>
  <c r="AL264" i="20" s="1"/>
  <c r="AU272" i="20"/>
  <c r="AW272" i="20" s="1"/>
  <c r="AE259" i="20"/>
  <c r="P265" i="20"/>
  <c r="P264" i="20" s="1"/>
  <c r="AG92" i="20"/>
  <c r="AG91" i="20" s="1"/>
  <c r="Z358" i="20"/>
  <c r="J137" i="20"/>
  <c r="AT361" i="20"/>
  <c r="AT360" i="20" s="1"/>
  <c r="AQ434" i="20"/>
  <c r="AV375" i="20"/>
  <c r="AG219" i="20"/>
  <c r="AU329" i="20"/>
  <c r="AU328" i="20" s="1"/>
  <c r="AU327" i="20" s="1"/>
  <c r="AT330" i="20"/>
  <c r="AT329" i="20" s="1"/>
  <c r="AT328" i="20" s="1"/>
  <c r="AT327" i="20" s="1"/>
  <c r="AU315" i="20"/>
  <c r="AT319" i="20"/>
  <c r="AG329" i="20"/>
  <c r="AG328" i="20" s="1"/>
  <c r="AG327" i="20" s="1"/>
  <c r="AL286" i="20"/>
  <c r="AL285" i="20" s="1"/>
  <c r="AL284" i="20" s="1"/>
  <c r="AU87" i="20"/>
  <c r="AH146" i="20"/>
  <c r="AH145" i="20" s="1"/>
  <c r="P362" i="20"/>
  <c r="P359" i="20" s="1"/>
  <c r="AL187" i="20"/>
  <c r="AL186" i="20" s="1"/>
  <c r="AK188" i="20"/>
  <c r="AK187" i="20" s="1"/>
  <c r="AK186" i="20" s="1"/>
  <c r="AW184" i="20"/>
  <c r="AT184" i="20"/>
  <c r="AR328" i="20"/>
  <c r="AR327" i="20" s="1"/>
  <c r="AH122" i="20"/>
  <c r="AH121" i="20" s="1"/>
  <c r="AH101" i="20"/>
  <c r="AH100" i="20" s="1"/>
  <c r="AE137" i="20"/>
  <c r="Y137" i="20"/>
  <c r="AO139" i="20"/>
  <c r="AO138" i="20" s="1"/>
  <c r="AT363" i="20"/>
  <c r="S239" i="20"/>
  <c r="AO62" i="20"/>
  <c r="AH286" i="20"/>
  <c r="AH285" i="20" s="1"/>
  <c r="AH284" i="20" s="1"/>
  <c r="T117" i="20"/>
  <c r="AF405" i="20"/>
  <c r="AU403" i="20"/>
  <c r="AU400" i="20" s="1"/>
  <c r="AU399" i="20" s="1"/>
  <c r="AU398" i="20" s="1"/>
  <c r="AI60" i="20"/>
  <c r="AL92" i="20"/>
  <c r="AL91" i="20" s="1"/>
  <c r="AK310" i="20"/>
  <c r="AK309" i="20" s="1"/>
  <c r="AK308" i="20" s="1"/>
  <c r="AO119" i="20"/>
  <c r="K117" i="20"/>
  <c r="AH238" i="20"/>
  <c r="AH237" i="20" s="1"/>
  <c r="AH233" i="20" s="1"/>
  <c r="AU170" i="20"/>
  <c r="AK286" i="20"/>
  <c r="AK285" i="20" s="1"/>
  <c r="AK284" i="20" s="1"/>
  <c r="AO64" i="20"/>
  <c r="AG399" i="20"/>
  <c r="AG398" i="20" s="1"/>
  <c r="AT177" i="20"/>
  <c r="AT176" i="20" s="1"/>
  <c r="AT175" i="20" s="1"/>
  <c r="AK120" i="20"/>
  <c r="AK119" i="20" s="1"/>
  <c r="AK118" i="20" s="1"/>
  <c r="AT78" i="20"/>
  <c r="AL122" i="20"/>
  <c r="AL121" i="20" s="1"/>
  <c r="P101" i="20"/>
  <c r="P100" i="20" s="1"/>
  <c r="Q238" i="20"/>
  <c r="Q237" i="20" s="1"/>
  <c r="AN399" i="20"/>
  <c r="AN398" i="20" s="1"/>
  <c r="W137" i="20"/>
  <c r="N137" i="20"/>
  <c r="AF117" i="20"/>
  <c r="R92" i="20"/>
  <c r="R91" i="20" s="1"/>
  <c r="AK49" i="20"/>
  <c r="AK48" i="20" s="1"/>
  <c r="AK434" i="20"/>
  <c r="AO452" i="20"/>
  <c r="S375" i="20"/>
  <c r="S370" i="20" s="1"/>
  <c r="AV187" i="20"/>
  <c r="AV186" i="20" s="1"/>
  <c r="AP182" i="20"/>
  <c r="AV130" i="20"/>
  <c r="AV129" i="20" s="1"/>
  <c r="P130" i="20"/>
  <c r="P129" i="20" s="1"/>
  <c r="AV226" i="20"/>
  <c r="AN226" i="20"/>
  <c r="AH210" i="20"/>
  <c r="AH209" i="20" s="1"/>
  <c r="P226" i="20"/>
  <c r="AN142" i="20"/>
  <c r="AN141" i="20" s="1"/>
  <c r="AN137" i="20" s="1"/>
  <c r="Q142" i="20"/>
  <c r="Q141" i="20" s="1"/>
  <c r="AC137" i="20"/>
  <c r="M137" i="20"/>
  <c r="AE117" i="20"/>
  <c r="AJ62" i="20"/>
  <c r="AJ61" i="20" s="1"/>
  <c r="AJ60" i="20" s="1"/>
  <c r="R168" i="20"/>
  <c r="R167" i="20" s="1"/>
  <c r="R161" i="20" s="1"/>
  <c r="AO146" i="20"/>
  <c r="AO48" i="20"/>
  <c r="AS362" i="20"/>
  <c r="AK461" i="20"/>
  <c r="AK457" i="20" s="1"/>
  <c r="AS375" i="20"/>
  <c r="J192" i="20"/>
  <c r="J191" i="20" s="1"/>
  <c r="J180" i="20" s="1"/>
  <c r="AH192" i="20"/>
  <c r="AH191" i="20" s="1"/>
  <c r="AG130" i="20"/>
  <c r="AG129" i="20" s="1"/>
  <c r="J226" i="20"/>
  <c r="AK226" i="20"/>
  <c r="AE203" i="20"/>
  <c r="AB203" i="20"/>
  <c r="R210" i="20"/>
  <c r="R209" i="20" s="1"/>
  <c r="P210" i="20"/>
  <c r="P209" i="20" s="1"/>
  <c r="AH142" i="20"/>
  <c r="AH141" i="20" s="1"/>
  <c r="AN269" i="20"/>
  <c r="AN268" i="20" s="1"/>
  <c r="AM269" i="20"/>
  <c r="AM268" i="20" s="1"/>
  <c r="AK265" i="20"/>
  <c r="AK264" i="20" s="1"/>
  <c r="AG275" i="20"/>
  <c r="AG274" i="20" s="1"/>
  <c r="M259" i="20"/>
  <c r="AH43" i="20"/>
  <c r="AA233" i="20"/>
  <c r="W400" i="20"/>
  <c r="W399" i="20" s="1"/>
  <c r="W398" i="20" s="1"/>
  <c r="AO447" i="20"/>
  <c r="AR259" i="20"/>
  <c r="K259" i="20"/>
  <c r="AQ137" i="20"/>
  <c r="AA137" i="20"/>
  <c r="T137" i="20"/>
  <c r="Z233" i="20"/>
  <c r="AG43" i="20"/>
  <c r="O233" i="20"/>
  <c r="AS64" i="20"/>
  <c r="AS61" i="20" s="1"/>
  <c r="AS101" i="20"/>
  <c r="AS100" i="20" s="1"/>
  <c r="V399" i="20"/>
  <c r="V398" i="20" s="1"/>
  <c r="AP332" i="20"/>
  <c r="AQ331" i="20" s="1"/>
  <c r="AS361" i="20"/>
  <c r="AS360" i="20" s="1"/>
  <c r="AP434" i="20"/>
  <c r="AH434" i="20"/>
  <c r="AL375" i="20"/>
  <c r="AL370" i="20" s="1"/>
  <c r="AM182" i="20"/>
  <c r="AM181" i="20" s="1"/>
  <c r="Q192" i="20"/>
  <c r="Q191" i="20" s="1"/>
  <c r="AL130" i="20"/>
  <c r="AL129" i="20" s="1"/>
  <c r="Q210" i="20"/>
  <c r="Q209" i="20" s="1"/>
  <c r="O203" i="20"/>
  <c r="K203" i="20"/>
  <c r="AL275" i="20"/>
  <c r="AL274" i="20" s="1"/>
  <c r="AP269" i="20"/>
  <c r="Z259" i="20"/>
  <c r="AX117" i="20"/>
  <c r="AS286" i="20"/>
  <c r="AS285" i="20" s="1"/>
  <c r="AS284" i="20" s="1"/>
  <c r="O359" i="20"/>
  <c r="O358" i="20" s="1"/>
  <c r="U399" i="20"/>
  <c r="AA332" i="20"/>
  <c r="K436" i="20"/>
  <c r="K434" i="20" s="1"/>
  <c r="AG415" i="20"/>
  <c r="Q226" i="20"/>
  <c r="AN265" i="20"/>
  <c r="AN264" i="20" s="1"/>
  <c r="AM265" i="20"/>
  <c r="AM264" i="20" s="1"/>
  <c r="Q265" i="20"/>
  <c r="Q264" i="20" s="1"/>
  <c r="X161" i="20"/>
  <c r="L161" i="20"/>
  <c r="AS92" i="20"/>
  <c r="AS91" i="20" s="1"/>
  <c r="AC161" i="20"/>
  <c r="V371" i="20"/>
  <c r="AS146" i="20"/>
  <c r="AS145" i="20" s="1"/>
  <c r="AI399" i="20"/>
  <c r="K400" i="20"/>
  <c r="K399" i="20" s="1"/>
  <c r="K398" i="20" s="1"/>
  <c r="AR400" i="20"/>
  <c r="AR399" i="20" s="1"/>
  <c r="AR398" i="20" s="1"/>
  <c r="AM375" i="20"/>
  <c r="Q375" i="20"/>
  <c r="AK130" i="20"/>
  <c r="AK129" i="20" s="1"/>
  <c r="R383" i="20"/>
  <c r="AC203" i="20"/>
  <c r="AW128" i="20"/>
  <c r="AW122" i="20" s="1"/>
  <c r="AW121" i="20" s="1"/>
  <c r="U259" i="20"/>
  <c r="M117" i="20"/>
  <c r="AH48" i="20"/>
  <c r="AB161" i="20"/>
  <c r="AS74" i="20"/>
  <c r="AS72" i="20" s="1"/>
  <c r="AS71" i="20" s="1"/>
  <c r="AX137" i="20"/>
  <c r="M399" i="20"/>
  <c r="M398" i="20" s="1"/>
  <c r="J399" i="20"/>
  <c r="J398" i="20" s="1"/>
  <c r="Z400" i="20"/>
  <c r="R400" i="20"/>
  <c r="R399" i="20" s="1"/>
  <c r="R398" i="20" s="1"/>
  <c r="AT335" i="20"/>
  <c r="AT332" i="20" s="1"/>
  <c r="M434" i="20"/>
  <c r="U434" i="20"/>
  <c r="AV439" i="20"/>
  <c r="AO375" i="20"/>
  <c r="AU185" i="20"/>
  <c r="AT185" i="20" s="1"/>
  <c r="AH182" i="20"/>
  <c r="AH181" i="20" s="1"/>
  <c r="AU217" i="20"/>
  <c r="AU216" i="20" s="1"/>
  <c r="AS207" i="20"/>
  <c r="AS205" i="20" s="1"/>
  <c r="AS204" i="20" s="1"/>
  <c r="AM210" i="20"/>
  <c r="AM209" i="20" s="1"/>
  <c r="AO219" i="20"/>
  <c r="AW410" i="20"/>
  <c r="AW332" i="20"/>
  <c r="L259" i="20"/>
  <c r="X137" i="20"/>
  <c r="L117" i="20"/>
  <c r="S161" i="20"/>
  <c r="AS399" i="20"/>
  <c r="AS398" i="20" s="1"/>
  <c r="Y399" i="20"/>
  <c r="Y398" i="20" s="1"/>
  <c r="AD434" i="20"/>
  <c r="AK219" i="20"/>
  <c r="AK92" i="20"/>
  <c r="AK91" i="20" s="1"/>
  <c r="AO400" i="20"/>
  <c r="AK364" i="20"/>
  <c r="AT364" i="20"/>
  <c r="AO328" i="20"/>
  <c r="AP117" i="20"/>
  <c r="AT404" i="20"/>
  <c r="AT403" i="20" s="1"/>
  <c r="AT400" i="20" s="1"/>
  <c r="AT73" i="20"/>
  <c r="AT72" i="20" s="1"/>
  <c r="AT71" i="20" s="1"/>
  <c r="AK236" i="20"/>
  <c r="AK235" i="20" s="1"/>
  <c r="AK234" i="20" s="1"/>
  <c r="AM161" i="20"/>
  <c r="AO371" i="20"/>
  <c r="AK67" i="20"/>
  <c r="AT310" i="20"/>
  <c r="AT309" i="20" s="1"/>
  <c r="AT308" i="20" s="1"/>
  <c r="AL146" i="20"/>
  <c r="AL145" i="20" s="1"/>
  <c r="Q168" i="20"/>
  <c r="Q167" i="20" s="1"/>
  <c r="Q161" i="20" s="1"/>
  <c r="AT372" i="20"/>
  <c r="AK122" i="20"/>
  <c r="AK121" i="20" s="1"/>
  <c r="AK78" i="20"/>
  <c r="AE233" i="20"/>
  <c r="AP168" i="20"/>
  <c r="AP167" i="20" s="1"/>
  <c r="AX161" i="20"/>
  <c r="K233" i="20"/>
  <c r="AD233" i="20"/>
  <c r="W233" i="20"/>
  <c r="AC233" i="20"/>
  <c r="AR233" i="20"/>
  <c r="AB233" i="20"/>
  <c r="T233" i="20"/>
  <c r="J233" i="20"/>
  <c r="AP233" i="20"/>
  <c r="AG48" i="20"/>
  <c r="Y233" i="20"/>
  <c r="AF233" i="20"/>
  <c r="AO247" i="20"/>
  <c r="AK147" i="20"/>
  <c r="AK146" i="20" s="1"/>
  <c r="AK145" i="20" s="1"/>
  <c r="AO360" i="20"/>
  <c r="AT379" i="20"/>
  <c r="AK378" i="20"/>
  <c r="V375" i="20"/>
  <c r="AS192" i="20"/>
  <c r="AS191" i="20" s="1"/>
  <c r="AS185" i="20"/>
  <c r="R192" i="20"/>
  <c r="R191" i="20" s="1"/>
  <c r="AD203" i="20"/>
  <c r="AA203" i="20"/>
  <c r="AD259" i="20"/>
  <c r="V362" i="20"/>
  <c r="V359" i="20" s="1"/>
  <c r="Q108" i="20"/>
  <c r="AW403" i="20"/>
  <c r="AW400" i="20" s="1"/>
  <c r="AW399" i="20" s="1"/>
  <c r="AW309" i="20"/>
  <c r="AW308" i="20" s="1"/>
  <c r="Y259" i="20"/>
  <c r="AT192" i="20"/>
  <c r="AT191" i="20" s="1"/>
  <c r="AG192" i="20"/>
  <c r="AG191" i="20" s="1"/>
  <c r="V309" i="20"/>
  <c r="V308" i="20" s="1"/>
  <c r="V297" i="20" s="1"/>
  <c r="R187" i="20"/>
  <c r="R186" i="20" s="1"/>
  <c r="AO130" i="20"/>
  <c r="AO129" i="20" s="1"/>
  <c r="N259" i="20"/>
  <c r="AK324" i="20"/>
  <c r="AT439" i="20"/>
  <c r="AT434" i="20" s="1"/>
  <c r="P182" i="20"/>
  <c r="P181" i="20" s="1"/>
  <c r="Y203" i="20"/>
  <c r="AF259" i="20"/>
  <c r="W259" i="20"/>
  <c r="AV109" i="20"/>
  <c r="AV108" i="20" s="1"/>
  <c r="AK199" i="20"/>
  <c r="AL200" i="20"/>
  <c r="AL199" i="20" s="1"/>
  <c r="AC259" i="20"/>
  <c r="AG266" i="20"/>
  <c r="AG265" i="20" s="1"/>
  <c r="AG264" i="20" s="1"/>
  <c r="AA265" i="20"/>
  <c r="AA264" i="20" s="1"/>
  <c r="AA259" i="20" s="1"/>
  <c r="N203" i="20"/>
  <c r="AU192" i="20"/>
  <c r="AU191" i="20" s="1"/>
  <c r="W203" i="20"/>
  <c r="AQ259" i="20"/>
  <c r="V259" i="20"/>
  <c r="S259" i="20"/>
  <c r="Q187" i="20"/>
  <c r="Q186" i="20" s="1"/>
  <c r="P192" i="20"/>
  <c r="P191" i="20" s="1"/>
  <c r="AH226" i="20"/>
  <c r="L203" i="20"/>
  <c r="AS272" i="20"/>
  <c r="AS269" i="20" s="1"/>
  <c r="AS268" i="20" s="1"/>
  <c r="AB265" i="20"/>
  <c r="AB264" i="20" s="1"/>
  <c r="AB259" i="20" s="1"/>
  <c r="AM226" i="20"/>
  <c r="AS266" i="20"/>
  <c r="AS265" i="20" s="1"/>
  <c r="AS264" i="20" s="1"/>
  <c r="AO265" i="20"/>
  <c r="P269" i="20"/>
  <c r="P268" i="20" s="1"/>
  <c r="AT431" i="20"/>
  <c r="AT207" i="20"/>
  <c r="AT205" i="20" s="1"/>
  <c r="AT204" i="20" s="1"/>
  <c r="AS210" i="20"/>
  <c r="AS209" i="20" s="1"/>
  <c r="AR203" i="20"/>
  <c r="AQ203" i="20"/>
  <c r="AP203" i="20"/>
  <c r="AL210" i="20"/>
  <c r="AL209" i="20" s="1"/>
  <c r="AN210" i="20"/>
  <c r="AN209" i="20" s="1"/>
  <c r="AF203" i="20"/>
  <c r="Z203" i="20"/>
  <c r="P187" i="20"/>
  <c r="P186" i="20" s="1"/>
  <c r="AH416" i="20"/>
  <c r="AO210" i="20"/>
  <c r="AL226" i="20"/>
  <c r="AH219" i="20"/>
  <c r="AG210" i="20"/>
  <c r="AG209" i="20" s="1"/>
  <c r="AT262" i="20"/>
  <c r="AH269" i="20"/>
  <c r="AH268" i="20" s="1"/>
  <c r="X203" i="20"/>
  <c r="V203" i="20"/>
  <c r="Q269" i="20"/>
  <c r="Q268" i="20" s="1"/>
  <c r="U203" i="20"/>
  <c r="T203" i="20"/>
  <c r="M203" i="20"/>
  <c r="AK269" i="20"/>
  <c r="AK268" i="20" s="1"/>
  <c r="AK259" i="20" s="1"/>
  <c r="AG269" i="20"/>
  <c r="AG268" i="20" s="1"/>
  <c r="AO121" i="20"/>
  <c r="AK68" i="20"/>
  <c r="AT287" i="20"/>
  <c r="AT286" i="20" s="1"/>
  <c r="AT285" i="20" s="1"/>
  <c r="AT284" i="20" s="1"/>
  <c r="AU286" i="20"/>
  <c r="AU285" i="20" s="1"/>
  <c r="AU284" i="20" s="1"/>
  <c r="AK192" i="20"/>
  <c r="AK191" i="20" s="1"/>
  <c r="AK210" i="20"/>
  <c r="AK209" i="20" s="1"/>
  <c r="AW238" i="20"/>
  <c r="AW237" i="20" s="1"/>
  <c r="AW233" i="20" s="1"/>
  <c r="AV244" i="20"/>
  <c r="AV238" i="20" s="1"/>
  <c r="AV237" i="20" s="1"/>
  <c r="AV233" i="20" s="1"/>
  <c r="AW88" i="20"/>
  <c r="AU142" i="20"/>
  <c r="AU141" i="20" s="1"/>
  <c r="AT144" i="20"/>
  <c r="AT142" i="20" s="1"/>
  <c r="AT141" i="20" s="1"/>
  <c r="AW144" i="20"/>
  <c r="AW120" i="20"/>
  <c r="AU119" i="20"/>
  <c r="AU118" i="20" s="1"/>
  <c r="AW68" i="20"/>
  <c r="AV68" i="20" s="1"/>
  <c r="AT68" i="20"/>
  <c r="AT124" i="20"/>
  <c r="AT122" i="20" s="1"/>
  <c r="AT121" i="20" s="1"/>
  <c r="AT117" i="20" s="1"/>
  <c r="AU122" i="20"/>
  <c r="AU121" i="20" s="1"/>
  <c r="AT103" i="20"/>
  <c r="AW103" i="20"/>
  <c r="AV103" i="20" s="1"/>
  <c r="AO92" i="20"/>
  <c r="AU146" i="20"/>
  <c r="AU145" i="20" s="1"/>
  <c r="AS122" i="20"/>
  <c r="AS121" i="20" s="1"/>
  <c r="AS117" i="20" s="1"/>
  <c r="AL192" i="20"/>
  <c r="AL191" i="20" s="1"/>
  <c r="AT102" i="20"/>
  <c r="AU101" i="20"/>
  <c r="AU100" i="20" s="1"/>
  <c r="AW168" i="20"/>
  <c r="AW167" i="20" s="1"/>
  <c r="AW161" i="20" s="1"/>
  <c r="AV172" i="20"/>
  <c r="AV168" i="20" s="1"/>
  <c r="AV167" i="20" s="1"/>
  <c r="AV161" i="20" s="1"/>
  <c r="AT241" i="20"/>
  <c r="AT238" i="20" s="1"/>
  <c r="AT237" i="20" s="1"/>
  <c r="AU238" i="20"/>
  <c r="AU237" i="20" s="1"/>
  <c r="AW99" i="20"/>
  <c r="AV99" i="20" s="1"/>
  <c r="AT99" i="20"/>
  <c r="AV65" i="20"/>
  <c r="BA65" i="20"/>
  <c r="AT93" i="20"/>
  <c r="AU187" i="20"/>
  <c r="AU186" i="20" s="1"/>
  <c r="AT188" i="20"/>
  <c r="AT187" i="20" s="1"/>
  <c r="AT186" i="20" s="1"/>
  <c r="AV98" i="20"/>
  <c r="AH187" i="20"/>
  <c r="AH186" i="20" s="1"/>
  <c r="AU211" i="20"/>
  <c r="AN182" i="20"/>
  <c r="AN181" i="20" s="1"/>
  <c r="AU267" i="20"/>
  <c r="Q233" i="20"/>
  <c r="AL269" i="20"/>
  <c r="AL268" i="20" s="1"/>
  <c r="Q182" i="20"/>
  <c r="Q181" i="20" s="1"/>
  <c r="U233" i="20"/>
  <c r="AV192" i="20"/>
  <c r="AV191" i="20" s="1"/>
  <c r="AL183" i="20"/>
  <c r="AU183" i="20"/>
  <c r="AT266" i="20" l="1"/>
  <c r="AS84" i="20"/>
  <c r="AK87" i="20"/>
  <c r="AK86" i="20" s="1"/>
  <c r="AK85" i="20" s="1"/>
  <c r="AU265" i="20"/>
  <c r="AU264" i="20" s="1"/>
  <c r="AH265" i="20"/>
  <c r="AH264" i="20" s="1"/>
  <c r="AG172" i="20"/>
  <c r="AG168" i="20" s="1"/>
  <c r="AG167" i="20" s="1"/>
  <c r="AG161" i="20" s="1"/>
  <c r="AS370" i="20"/>
  <c r="AV370" i="20"/>
  <c r="V137" i="20"/>
  <c r="S358" i="20"/>
  <c r="E20" i="21"/>
  <c r="F19" i="21"/>
  <c r="G53" i="21"/>
  <c r="F55" i="21"/>
  <c r="I49" i="21"/>
  <c r="AR358" i="20"/>
  <c r="AR44" i="20" s="1"/>
  <c r="AR43" i="20" s="1"/>
  <c r="AR42" i="20" s="1"/>
  <c r="R358" i="20"/>
  <c r="R84" i="20"/>
  <c r="AP358" i="20"/>
  <c r="Q398" i="20"/>
  <c r="E57" i="21"/>
  <c r="E56" i="21"/>
  <c r="AH398" i="20"/>
  <c r="I47" i="21"/>
  <c r="D58" i="21"/>
  <c r="S9" i="21"/>
  <c r="AN180" i="20"/>
  <c r="J203" i="20"/>
  <c r="AH206" i="20"/>
  <c r="AU206" i="20" s="1"/>
  <c r="AT206" i="20" s="1"/>
  <c r="AT64" i="20"/>
  <c r="AT61" i="20" s="1"/>
  <c r="J54" i="21"/>
  <c r="R203" i="20"/>
  <c r="AU297" i="20"/>
  <c r="AG297" i="20"/>
  <c r="AV213" i="20"/>
  <c r="AV210" i="20" s="1"/>
  <c r="AV209" i="20" s="1"/>
  <c r="AV203" i="20" s="1"/>
  <c r="AW210" i="20"/>
  <c r="AW209" i="20" s="1"/>
  <c r="AW203" i="20" s="1"/>
  <c r="BA213" i="20"/>
  <c r="BA57" i="20" s="1"/>
  <c r="AV361" i="20"/>
  <c r="AV360" i="20" s="1"/>
  <c r="AV359" i="20" s="1"/>
  <c r="AV358" i="20" s="1"/>
  <c r="AH359" i="20"/>
  <c r="AV297" i="20"/>
  <c r="AT137" i="20"/>
  <c r="AG84" i="20"/>
  <c r="AL137" i="20"/>
  <c r="AV284" i="20"/>
  <c r="AW360" i="20"/>
  <c r="AW359" i="20" s="1"/>
  <c r="AW358" i="20" s="1"/>
  <c r="AU370" i="20"/>
  <c r="AU358" i="20" s="1"/>
  <c r="AS182" i="20"/>
  <c r="AS181" i="20" s="1"/>
  <c r="AS180" i="20" s="1"/>
  <c r="AW273" i="20"/>
  <c r="AV273" i="20" s="1"/>
  <c r="R137" i="20"/>
  <c r="AV266" i="20"/>
  <c r="V84" i="20"/>
  <c r="P297" i="20"/>
  <c r="R259" i="20"/>
  <c r="Q297" i="20"/>
  <c r="AN297" i="20"/>
  <c r="AW297" i="20"/>
  <c r="AT261" i="20"/>
  <c r="AT260" i="20" s="1"/>
  <c r="AM117" i="20"/>
  <c r="AZ84" i="20"/>
  <c r="AL117" i="20"/>
  <c r="AU92" i="20"/>
  <c r="AU91" i="20" s="1"/>
  <c r="AT376" i="20"/>
  <c r="AT375" i="20" s="1"/>
  <c r="AL60" i="20"/>
  <c r="AM84" i="20"/>
  <c r="AG137" i="20"/>
  <c r="AH60" i="20"/>
  <c r="AH84" i="20"/>
  <c r="Q84" i="20"/>
  <c r="AT316" i="20"/>
  <c r="AT315" i="20" s="1"/>
  <c r="AT297" i="20" s="1"/>
  <c r="AN84" i="20"/>
  <c r="AG60" i="20"/>
  <c r="J60" i="20"/>
  <c r="P84" i="20"/>
  <c r="AL168" i="20"/>
  <c r="AL167" i="20" s="1"/>
  <c r="AL161" i="20" s="1"/>
  <c r="P60" i="20"/>
  <c r="Q60" i="20"/>
  <c r="AQ238" i="20"/>
  <c r="AQ237" i="20" s="1"/>
  <c r="AQ233" i="20" s="1"/>
  <c r="AQ58" i="20" s="1"/>
  <c r="AQ55" i="20" s="1"/>
  <c r="AM239" i="20"/>
  <c r="AM238" i="20" s="1"/>
  <c r="AM237" i="20" s="1"/>
  <c r="AM233" i="20" s="1"/>
  <c r="AK77" i="20"/>
  <c r="AK76" i="20" s="1"/>
  <c r="AN60" i="20"/>
  <c r="P370" i="20"/>
  <c r="AK84" i="20"/>
  <c r="AL84" i="20"/>
  <c r="V117" i="20"/>
  <c r="AK316" i="20"/>
  <c r="AK315" i="20" s="1"/>
  <c r="AK297" i="20" s="1"/>
  <c r="AM60" i="20"/>
  <c r="AU60" i="20"/>
  <c r="AT77" i="20"/>
  <c r="AT76" i="20" s="1"/>
  <c r="AS137" i="20"/>
  <c r="Q117" i="20"/>
  <c r="AV434" i="20"/>
  <c r="AU269" i="20"/>
  <c r="AU268" i="20" s="1"/>
  <c r="AU259" i="20" s="1"/>
  <c r="J358" i="20"/>
  <c r="AH17" i="20"/>
  <c r="AB16" i="20"/>
  <c r="AH16" i="20" s="1"/>
  <c r="R180" i="20"/>
  <c r="AT415" i="20"/>
  <c r="AL233" i="20"/>
  <c r="Q180" i="20"/>
  <c r="AN203" i="20"/>
  <c r="AW182" i="20"/>
  <c r="AW181" i="20" s="1"/>
  <c r="AW180" i="20" s="1"/>
  <c r="P180" i="20"/>
  <c r="AH180" i="20"/>
  <c r="AM180" i="20"/>
  <c r="AS203" i="20"/>
  <c r="P117" i="20"/>
  <c r="AN370" i="20"/>
  <c r="AN358" i="20" s="1"/>
  <c r="AG180" i="20"/>
  <c r="AK233" i="20"/>
  <c r="AT233" i="20"/>
  <c r="AK375" i="20"/>
  <c r="AK370" i="20" s="1"/>
  <c r="AK362" i="20"/>
  <c r="AK359" i="20" s="1"/>
  <c r="AT272" i="20"/>
  <c r="AT269" i="20" s="1"/>
  <c r="AT268" i="20" s="1"/>
  <c r="AS359" i="20"/>
  <c r="AS358" i="20" s="1"/>
  <c r="AS259" i="20"/>
  <c r="AM370" i="20"/>
  <c r="AM358" i="20" s="1"/>
  <c r="AF399" i="20"/>
  <c r="AF398" i="20" s="1"/>
  <c r="AF44" i="20" s="1"/>
  <c r="AF43" i="20" s="1"/>
  <c r="AF42" i="20" s="1"/>
  <c r="AK203" i="20"/>
  <c r="AT399" i="20"/>
  <c r="AT398" i="20" s="1"/>
  <c r="AL358" i="20"/>
  <c r="R60" i="20"/>
  <c r="AH375" i="20"/>
  <c r="AH370" i="20" s="1"/>
  <c r="AH358" i="20" s="1"/>
  <c r="AM137" i="20"/>
  <c r="AV128" i="20"/>
  <c r="AV122" i="20" s="1"/>
  <c r="AV121" i="20" s="1"/>
  <c r="AV184" i="20"/>
  <c r="AV182" i="20" s="1"/>
  <c r="AV181" i="20" s="1"/>
  <c r="AV180" i="20" s="1"/>
  <c r="Q203" i="20"/>
  <c r="AB58" i="20"/>
  <c r="AB55" i="20" s="1"/>
  <c r="M44" i="20"/>
  <c r="K30" i="20"/>
  <c r="K28" i="20" s="1"/>
  <c r="AG203" i="20"/>
  <c r="AO298" i="20"/>
  <c r="AS60" i="20"/>
  <c r="AH117" i="20"/>
  <c r="AG370" i="20"/>
  <c r="AG358" i="20" s="1"/>
  <c r="AO141" i="20"/>
  <c r="AO72" i="20"/>
  <c r="AW398" i="20"/>
  <c r="P358" i="20"/>
  <c r="AG117" i="20"/>
  <c r="AU247" i="20"/>
  <c r="AU233" i="20" s="1"/>
  <c r="Q370" i="20"/>
  <c r="Q358" i="20" s="1"/>
  <c r="AH137" i="20"/>
  <c r="AO161" i="20"/>
  <c r="P137" i="20"/>
  <c r="AZ16" i="20"/>
  <c r="AN259" i="20"/>
  <c r="AC44" i="20"/>
  <c r="AC43" i="20" s="1"/>
  <c r="AC42" i="20" s="1"/>
  <c r="AB30" i="20"/>
  <c r="AZ39" i="20" s="1"/>
  <c r="M30" i="20"/>
  <c r="M28" i="20" s="1"/>
  <c r="AX58" i="20"/>
  <c r="AX55" i="20" s="1"/>
  <c r="AT371" i="20"/>
  <c r="AY58" i="20"/>
  <c r="AY55" i="20" s="1"/>
  <c r="AO237" i="20"/>
  <c r="AO410" i="20"/>
  <c r="AR58" i="20"/>
  <c r="AR55" i="20" s="1"/>
  <c r="AM203" i="20"/>
  <c r="T30" i="20"/>
  <c r="T28" i="20" s="1"/>
  <c r="V370" i="20"/>
  <c r="V358" i="20" s="1"/>
  <c r="AH42" i="20"/>
  <c r="AO191" i="20"/>
  <c r="AO180" i="20" s="1"/>
  <c r="N30" i="20"/>
  <c r="N28" i="20" s="1"/>
  <c r="K58" i="20"/>
  <c r="AA375" i="20"/>
  <c r="AA370" i="20" s="1"/>
  <c r="AA358" i="20" s="1"/>
  <c r="AA30" i="20" s="1"/>
  <c r="AA28" i="20" s="1"/>
  <c r="AL259" i="20"/>
  <c r="AH203" i="20"/>
  <c r="P259" i="20"/>
  <c r="AO359" i="20"/>
  <c r="AM259" i="20"/>
  <c r="AO434" i="20"/>
  <c r="AO234" i="20"/>
  <c r="AK137" i="20"/>
  <c r="Q259" i="20"/>
  <c r="AK117" i="20"/>
  <c r="AF58" i="20"/>
  <c r="AF55" i="20" s="1"/>
  <c r="AB15" i="20"/>
  <c r="AO14" i="20" s="1"/>
  <c r="AD58" i="20"/>
  <c r="AD55" i="20" s="1"/>
  <c r="AK47" i="20"/>
  <c r="Q137" i="20"/>
  <c r="AX44" i="20"/>
  <c r="AX43" i="20" s="1"/>
  <c r="AX42" i="20" s="1"/>
  <c r="N44" i="20"/>
  <c r="AT92" i="20"/>
  <c r="AT91" i="20" s="1"/>
  <c r="AC30" i="20"/>
  <c r="AC28" i="20" s="1"/>
  <c r="L58" i="20"/>
  <c r="AE44" i="20"/>
  <c r="AE43" i="20" s="1"/>
  <c r="AE42" i="20" s="1"/>
  <c r="X44" i="20"/>
  <c r="X43" i="20" s="1"/>
  <c r="X42" i="20" s="1"/>
  <c r="N58" i="20"/>
  <c r="Y58" i="20"/>
  <c r="Y55" i="20" s="1"/>
  <c r="AT362" i="20"/>
  <c r="AT359" i="20" s="1"/>
  <c r="Z399" i="20"/>
  <c r="Z398" i="20" s="1"/>
  <c r="Z30" i="20" s="1"/>
  <c r="Z28" i="20" s="1"/>
  <c r="P203" i="20"/>
  <c r="AO61" i="20"/>
  <c r="AO118" i="20"/>
  <c r="U398" i="20"/>
  <c r="U58" i="20" s="1"/>
  <c r="U55" i="20" s="1"/>
  <c r="AP268" i="20"/>
  <c r="AG42" i="20"/>
  <c r="AY44" i="20"/>
  <c r="AY43" i="20" s="1"/>
  <c r="AY42" i="20" s="1"/>
  <c r="AO145" i="20"/>
  <c r="AP181" i="20"/>
  <c r="AP180" i="20" s="1"/>
  <c r="AT170" i="20"/>
  <c r="AT168" i="20" s="1"/>
  <c r="AT167" i="20" s="1"/>
  <c r="AT161" i="20" s="1"/>
  <c r="AU168" i="20"/>
  <c r="AU167" i="20" s="1"/>
  <c r="AU161" i="20" s="1"/>
  <c r="W30" i="20"/>
  <c r="O44" i="20"/>
  <c r="R239" i="20"/>
  <c r="R238" i="20" s="1"/>
  <c r="R237" i="20" s="1"/>
  <c r="R233" i="20" s="1"/>
  <c r="S238" i="20"/>
  <c r="S237" i="20" s="1"/>
  <c r="S233" i="20" s="1"/>
  <c r="S30" i="20" s="1"/>
  <c r="S28" i="20" s="1"/>
  <c r="AT87" i="20"/>
  <c r="AT86" i="20" s="1"/>
  <c r="AT85" i="20" s="1"/>
  <c r="AU86" i="20"/>
  <c r="AC58" i="20"/>
  <c r="AC55" i="20" s="1"/>
  <c r="Y30" i="20"/>
  <c r="Y28" i="20" s="1"/>
  <c r="Y44" i="20"/>
  <c r="Y43" i="20" s="1"/>
  <c r="Y42" i="20" s="1"/>
  <c r="L30" i="20"/>
  <c r="L28" i="20" s="1"/>
  <c r="O30" i="20"/>
  <c r="O28" i="20" s="1"/>
  <c r="AW64" i="20"/>
  <c r="AW61" i="20" s="1"/>
  <c r="AW60" i="20" s="1"/>
  <c r="AD30" i="20"/>
  <c r="AD28" i="20" s="1"/>
  <c r="T58" i="20"/>
  <c r="T55" i="20" s="1"/>
  <c r="O58" i="20"/>
  <c r="AE58" i="20"/>
  <c r="AE55" i="20" s="1"/>
  <c r="AD44" i="20"/>
  <c r="AD43" i="20" s="1"/>
  <c r="AD42" i="20" s="1"/>
  <c r="X58" i="20"/>
  <c r="X55" i="20" s="1"/>
  <c r="AE15" i="20"/>
  <c r="AL203" i="20"/>
  <c r="AG259" i="20"/>
  <c r="AV272" i="20"/>
  <c r="AV64" i="20"/>
  <c r="AV61" i="20" s="1"/>
  <c r="AV60" i="20" s="1"/>
  <c r="AB44" i="20"/>
  <c r="AB43" i="20" s="1"/>
  <c r="AB42" i="20" s="1"/>
  <c r="M58" i="20"/>
  <c r="X30" i="20"/>
  <c r="AU137" i="20"/>
  <c r="AH259" i="20"/>
  <c r="AO264" i="20"/>
  <c r="AU416" i="20"/>
  <c r="AU415" i="20" s="1"/>
  <c r="AH415" i="20"/>
  <c r="AP161" i="20"/>
  <c r="W58" i="20"/>
  <c r="W55" i="20" s="1"/>
  <c r="AO370" i="20"/>
  <c r="AO399" i="20"/>
  <c r="AO209" i="20"/>
  <c r="AO327" i="20"/>
  <c r="L44" i="20"/>
  <c r="AK64" i="20"/>
  <c r="AK61" i="20" s="1"/>
  <c r="W44" i="20"/>
  <c r="W43" i="20" s="1"/>
  <c r="W42" i="20" s="1"/>
  <c r="AT101" i="20"/>
  <c r="AT100" i="20" s="1"/>
  <c r="AO91" i="20"/>
  <c r="AT211" i="20"/>
  <c r="AT210" i="20" s="1"/>
  <c r="AT209" i="20" s="1"/>
  <c r="AT203" i="20" s="1"/>
  <c r="AU210" i="20"/>
  <c r="AU209" i="20" s="1"/>
  <c r="AU203" i="20" s="1"/>
  <c r="AW101" i="20"/>
  <c r="AW100" i="20" s="1"/>
  <c r="AV102" i="20"/>
  <c r="AV101" i="20" s="1"/>
  <c r="AV100" i="20" s="1"/>
  <c r="AW267" i="20"/>
  <c r="AZ42" i="20" s="1"/>
  <c r="AT267" i="20"/>
  <c r="AW119" i="20"/>
  <c r="AW118" i="20" s="1"/>
  <c r="AW117" i="20" s="1"/>
  <c r="AV120" i="20"/>
  <c r="AV119" i="20" s="1"/>
  <c r="AV118" i="20" s="1"/>
  <c r="AW92" i="20"/>
  <c r="AW91" i="20" s="1"/>
  <c r="AV144" i="20"/>
  <c r="AV142" i="20" s="1"/>
  <c r="AV141" i="20" s="1"/>
  <c r="AV137" i="20" s="1"/>
  <c r="AW142" i="20"/>
  <c r="AW141" i="20" s="1"/>
  <c r="AW137" i="20" s="1"/>
  <c r="AU117" i="20"/>
  <c r="AV92" i="20"/>
  <c r="AV91" i="20" s="1"/>
  <c r="AO108" i="20"/>
  <c r="AK183" i="20"/>
  <c r="AK182" i="20" s="1"/>
  <c r="AK181" i="20" s="1"/>
  <c r="AK180" i="20" s="1"/>
  <c r="AL182" i="20"/>
  <c r="AL181" i="20" s="1"/>
  <c r="AL180" i="20" s="1"/>
  <c r="AT183" i="20"/>
  <c r="AT182" i="20" s="1"/>
  <c r="AT181" i="20" s="1"/>
  <c r="AT180" i="20" s="1"/>
  <c r="AU182" i="20"/>
  <c r="AU181" i="20" s="1"/>
  <c r="AU180" i="20" s="1"/>
  <c r="AT60" i="20" l="1"/>
  <c r="AT265" i="20"/>
  <c r="AT264" i="20" s="1"/>
  <c r="AQ15" i="20"/>
  <c r="AQ44" i="20"/>
  <c r="AQ43" i="20" s="1"/>
  <c r="AQ42" i="20" s="1"/>
  <c r="J49" i="21"/>
  <c r="F56" i="21"/>
  <c r="F57" i="21"/>
  <c r="AR15" i="20"/>
  <c r="J47" i="21"/>
  <c r="H53" i="21"/>
  <c r="G55" i="21"/>
  <c r="R42" i="21"/>
  <c r="R13" i="21"/>
  <c r="R18" i="21"/>
  <c r="E16" i="21" s="1"/>
  <c r="R41" i="21"/>
  <c r="S34" i="21"/>
  <c r="R36" i="21"/>
  <c r="R29" i="21"/>
  <c r="R20" i="21"/>
  <c r="E19" i="21"/>
  <c r="J58" i="20"/>
  <c r="J30" i="20"/>
  <c r="J28" i="20" s="1"/>
  <c r="AW269" i="20"/>
  <c r="AW268" i="20" s="1"/>
  <c r="AV269" i="20"/>
  <c r="AV268" i="20" s="1"/>
  <c r="V58" i="20"/>
  <c r="V55" i="20" s="1"/>
  <c r="AW84" i="20"/>
  <c r="AK358" i="20"/>
  <c r="AT84" i="20"/>
  <c r="AK60" i="20"/>
  <c r="U30" i="20"/>
  <c r="U28" i="20" s="1"/>
  <c r="AV117" i="20"/>
  <c r="AO84" i="20"/>
  <c r="AM58" i="20"/>
  <c r="AM55" i="20" s="1"/>
  <c r="AV84" i="20"/>
  <c r="AM44" i="20"/>
  <c r="AM43" i="20" s="1"/>
  <c r="AM42" i="20" s="1"/>
  <c r="AN58" i="20"/>
  <c r="AN55" i="20" s="1"/>
  <c r="AU85" i="20"/>
  <c r="AU84" i="20" s="1"/>
  <c r="R30" i="20"/>
  <c r="R28" i="20" s="1"/>
  <c r="AZ37" i="20"/>
  <c r="AZ34" i="20"/>
  <c r="AA14" i="20"/>
  <c r="AB14" i="20" s="1"/>
  <c r="AD14" i="20" s="1"/>
  <c r="AF15" i="20"/>
  <c r="AN44" i="20"/>
  <c r="AS58" i="20"/>
  <c r="AS55" i="20" s="1"/>
  <c r="AT259" i="20"/>
  <c r="AT370" i="20"/>
  <c r="AZ35" i="20"/>
  <c r="AS44" i="20"/>
  <c r="AS43" i="20" s="1"/>
  <c r="AS42" i="20" s="1"/>
  <c r="AO71" i="20"/>
  <c r="AB28" i="20"/>
  <c r="AD26" i="20" s="1"/>
  <c r="Q58" i="20"/>
  <c r="AZ36" i="20"/>
  <c r="AH30" i="20"/>
  <c r="AG58" i="20"/>
  <c r="AG55" i="20" s="1"/>
  <c r="AO233" i="20"/>
  <c r="P58" i="20"/>
  <c r="Z44" i="20"/>
  <c r="Z43" i="20" s="1"/>
  <c r="Z42" i="20" s="1"/>
  <c r="AA44" i="20"/>
  <c r="AA43" i="20" s="1"/>
  <c r="AA42" i="20" s="1"/>
  <c r="AA58" i="20"/>
  <c r="AA55" i="20" s="1"/>
  <c r="AG30" i="20"/>
  <c r="W28" i="20"/>
  <c r="AG28" i="20" s="1"/>
  <c r="AT358" i="20"/>
  <c r="AH58" i="20"/>
  <c r="AH55" i="20" s="1"/>
  <c r="AO117" i="20"/>
  <c r="AP259" i="20"/>
  <c r="AO358" i="20"/>
  <c r="R58" i="20"/>
  <c r="Z58" i="20"/>
  <c r="Z55" i="20" s="1"/>
  <c r="AO137" i="20"/>
  <c r="S58" i="20"/>
  <c r="S55" i="20" s="1"/>
  <c r="AO203" i="20"/>
  <c r="AO259" i="20"/>
  <c r="P44" i="20"/>
  <c r="X28" i="20"/>
  <c r="Q44" i="20"/>
  <c r="AO398" i="20"/>
  <c r="AW265" i="20"/>
  <c r="AW264" i="20" s="1"/>
  <c r="AV267" i="20"/>
  <c r="AV265" i="20" s="1"/>
  <c r="AV264" i="20" s="1"/>
  <c r="AV259" i="20" s="1"/>
  <c r="AL58" i="20"/>
  <c r="AL55" i="20" s="1"/>
  <c r="AL44" i="20"/>
  <c r="AL43" i="20" s="1"/>
  <c r="AL42" i="20" s="1"/>
  <c r="I18" i="21" l="1"/>
  <c r="F18" i="21"/>
  <c r="L18" i="21"/>
  <c r="J18" i="21"/>
  <c r="H18" i="21"/>
  <c r="O18" i="21"/>
  <c r="K18" i="21"/>
  <c r="M18" i="21"/>
  <c r="G18" i="21"/>
  <c r="N18" i="21"/>
  <c r="E12" i="21"/>
  <c r="R10" i="21"/>
  <c r="AW259" i="20"/>
  <c r="AW58" i="20" s="1"/>
  <c r="AW55" i="20" s="1"/>
  <c r="R19" i="21"/>
  <c r="S22" i="21"/>
  <c r="R22" i="21"/>
  <c r="S21" i="21"/>
  <c r="G56" i="21"/>
  <c r="G57" i="21"/>
  <c r="R45" i="21"/>
  <c r="S45" i="21"/>
  <c r="S44" i="21" s="1"/>
  <c r="I53" i="21"/>
  <c r="I55" i="21" s="1"/>
  <c r="H55" i="21"/>
  <c r="AK44" i="20"/>
  <c r="AK43" i="20" s="1"/>
  <c r="AK42" i="20" s="1"/>
  <c r="AK58" i="20"/>
  <c r="AK55" i="20" s="1"/>
  <c r="AU44" i="20"/>
  <c r="AU43" i="20" s="1"/>
  <c r="AU42" i="20" s="1"/>
  <c r="AU58" i="20"/>
  <c r="AU55" i="20" s="1"/>
  <c r="AZ40" i="20"/>
  <c r="AV44" i="20"/>
  <c r="AV43" i="20" s="1"/>
  <c r="AV42" i="20" s="1"/>
  <c r="AO60" i="20"/>
  <c r="AO44" i="20" s="1"/>
  <c r="AH28" i="20"/>
  <c r="AT44" i="20"/>
  <c r="AT43" i="20" s="1"/>
  <c r="AT42" i="20" s="1"/>
  <c r="AT58" i="20"/>
  <c r="AT55" i="20" s="1"/>
  <c r="AP15" i="20"/>
  <c r="AP17" i="20" s="1"/>
  <c r="AP44" i="20"/>
  <c r="AP43" i="20" s="1"/>
  <c r="AP58" i="20"/>
  <c r="AP55" i="20" s="1"/>
  <c r="AP57" i="20" s="1"/>
  <c r="AO57" i="20" s="1"/>
  <c r="AW83" i="20"/>
  <c r="AZ83" i="20" s="1"/>
  <c r="AV58" i="20"/>
  <c r="AV55" i="20" s="1"/>
  <c r="AW44" i="20" l="1"/>
  <c r="AW43" i="20" s="1"/>
  <c r="AW42" i="20" s="1"/>
  <c r="J53" i="21"/>
  <c r="J55" i="21" s="1"/>
  <c r="J57" i="21" s="1"/>
  <c r="I56" i="21"/>
  <c r="I57" i="21"/>
  <c r="O44" i="21"/>
  <c r="O42" i="21" s="1"/>
  <c r="O41" i="21" s="1"/>
  <c r="L44" i="21"/>
  <c r="L42" i="21" s="1"/>
  <c r="L41" i="21" s="1"/>
  <c r="K44" i="21"/>
  <c r="K42" i="21" s="1"/>
  <c r="K41" i="21" s="1"/>
  <c r="G44" i="21"/>
  <c r="R9" i="21"/>
  <c r="H56" i="21"/>
  <c r="H57" i="21"/>
  <c r="K57" i="21" s="1"/>
  <c r="K13" i="21"/>
  <c r="K10" i="21" s="1"/>
  <c r="J13" i="21"/>
  <c r="J10" i="21" s="1"/>
  <c r="J9" i="21" s="1"/>
  <c r="J58" i="21" s="1"/>
  <c r="I13" i="21"/>
  <c r="I10" i="21" s="1"/>
  <c r="I9" i="21" s="1"/>
  <c r="I58" i="21" s="1"/>
  <c r="L13" i="21"/>
  <c r="L10" i="21" s="1"/>
  <c r="G13" i="21"/>
  <c r="G10" i="21" s="1"/>
  <c r="N13" i="21"/>
  <c r="N10" i="21" s="1"/>
  <c r="N9" i="21" s="1"/>
  <c r="N58" i="21" s="1"/>
  <c r="F13" i="21"/>
  <c r="M13" i="21"/>
  <c r="M10" i="21" s="1"/>
  <c r="M9" i="21" s="1"/>
  <c r="M58" i="21" s="1"/>
  <c r="H13" i="21"/>
  <c r="H10" i="21" s="1"/>
  <c r="H9" i="21" s="1"/>
  <c r="H58" i="21" s="1"/>
  <c r="O13" i="21"/>
  <c r="O10" i="21" s="1"/>
  <c r="O9" i="21" s="1"/>
  <c r="O58" i="21" s="1"/>
  <c r="E18" i="21"/>
  <c r="AP42" i="20"/>
  <c r="AO58" i="20"/>
  <c r="AO55" i="20" s="1"/>
  <c r="AO15" i="20"/>
  <c r="AL57" i="20"/>
  <c r="AK57" i="20" s="1"/>
  <c r="AO43" i="20"/>
  <c r="L9" i="21" l="1"/>
  <c r="L58" i="21" s="1"/>
  <c r="K9" i="21"/>
  <c r="K58" i="21" s="1"/>
  <c r="F10" i="21"/>
  <c r="F9" i="21" s="1"/>
  <c r="E13" i="21"/>
  <c r="E10" i="21" s="1"/>
  <c r="G42" i="21"/>
  <c r="E44" i="21"/>
  <c r="D44" i="21" s="1"/>
  <c r="AO42" i="20"/>
  <c r="F58" i="21" l="1"/>
  <c r="G41" i="21"/>
  <c r="E42" i="21"/>
  <c r="E41" i="21" l="1"/>
  <c r="E9" i="21" s="1"/>
  <c r="G9" i="21"/>
  <c r="G58" i="21" l="1"/>
  <c r="P9" i="21"/>
  <c r="E58" i="21" l="1"/>
  <c r="J59" i="21" l="1"/>
  <c r="J60" i="21" s="1"/>
  <c r="L59" i="21"/>
  <c r="L60" i="21" s="1"/>
  <c r="N59" i="21"/>
  <c r="N60" i="21" s="1"/>
  <c r="I59" i="21"/>
  <c r="I60" i="21" s="1"/>
  <c r="O59" i="21"/>
  <c r="O60" i="21" s="1"/>
  <c r="H59" i="21"/>
  <c r="H60" i="21" s="1"/>
  <c r="M59" i="21"/>
  <c r="M60" i="21" s="1"/>
  <c r="K59" i="21"/>
  <c r="K60" i="21" s="1"/>
  <c r="F59" i="21"/>
  <c r="F60" i="21" s="1"/>
  <c r="G59" i="21"/>
  <c r="G60" i="21" s="1"/>
  <c r="K66" i="21" l="1"/>
  <c r="K69" i="21"/>
  <c r="K61" i="21"/>
  <c r="K62" i="21" s="1"/>
  <c r="K63" i="21" s="1"/>
  <c r="K64" i="21" s="1"/>
  <c r="K67" i="21"/>
  <c r="O66" i="21"/>
  <c r="O69" i="21"/>
  <c r="O61" i="21"/>
  <c r="O62" i="21" s="1"/>
  <c r="O63" i="21" s="1"/>
  <c r="O64" i="21" s="1"/>
  <c r="I66" i="21"/>
  <c r="I61" i="21"/>
  <c r="I62" i="21" s="1"/>
  <c r="I63" i="21" s="1"/>
  <c r="I64" i="21" s="1"/>
  <c r="I65" i="21"/>
  <c r="I67" i="21"/>
  <c r="I69" i="21"/>
  <c r="H61" i="21"/>
  <c r="H62" i="21" s="1"/>
  <c r="H63" i="21" s="1"/>
  <c r="H64" i="21" s="1"/>
  <c r="H66" i="21"/>
  <c r="H69" i="21"/>
  <c r="N66" i="21"/>
  <c r="N61" i="21"/>
  <c r="N62" i="21" s="1"/>
  <c r="N63" i="21" s="1"/>
  <c r="N64" i="21" s="1"/>
  <c r="G66" i="21"/>
  <c r="G69" i="21"/>
  <c r="G61" i="21"/>
  <c r="G62" i="21" s="1"/>
  <c r="G63" i="21" s="1"/>
  <c r="G64" i="21" s="1"/>
  <c r="L66" i="21"/>
  <c r="L61" i="21"/>
  <c r="L62" i="21" s="1"/>
  <c r="L63" i="21" s="1"/>
  <c r="L64" i="21" s="1"/>
  <c r="L67" i="21"/>
  <c r="L69" i="21"/>
  <c r="M66" i="21"/>
  <c r="M69" i="21"/>
  <c r="M61" i="21"/>
  <c r="M62" i="21" s="1"/>
  <c r="M63" i="21" s="1"/>
  <c r="M64" i="21" s="1"/>
  <c r="F69" i="21"/>
  <c r="F61" i="21"/>
  <c r="E60" i="21"/>
  <c r="F66" i="21"/>
  <c r="J66" i="21"/>
  <c r="J65" i="21"/>
  <c r="J69" i="21"/>
  <c r="J61" i="21"/>
  <c r="J62" i="21" s="1"/>
  <c r="J63" i="21" s="1"/>
  <c r="J64" i="21" s="1"/>
  <c r="O67" i="21" l="1"/>
  <c r="M65" i="21"/>
  <c r="J67" i="21"/>
  <c r="K65" i="21"/>
  <c r="O65" i="21"/>
  <c r="N65" i="21"/>
  <c r="N67" i="21"/>
  <c r="M67" i="21"/>
  <c r="G65" i="21"/>
  <c r="G67" i="21"/>
  <c r="F62" i="21"/>
  <c r="E61" i="21"/>
  <c r="H67" i="21"/>
  <c r="L65" i="21"/>
  <c r="H65" i="21"/>
  <c r="E62" i="21" l="1"/>
  <c r="F63" i="21"/>
  <c r="E63" i="21" l="1"/>
  <c r="F64" i="21"/>
  <c r="E64" i="21" l="1"/>
  <c r="F67" i="21"/>
  <c r="F65" i="21"/>
  <c r="E65" i="21" l="1"/>
  <c r="E66" i="21" s="1"/>
  <c r="E67" i="21" l="1"/>
  <c r="J5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SONGNGOC</author>
  </authors>
  <commentList>
    <comment ref="B251" authorId="0" shapeId="0" xr:uid="{00000000-0006-0000-0000-000001000000}">
      <text>
        <r>
          <rPr>
            <b/>
            <sz val="9"/>
            <color indexed="81"/>
            <rFont val="Tahoma"/>
            <family val="2"/>
            <charset val="163"/>
          </rPr>
          <t>SONGNGOC:</t>
        </r>
        <r>
          <rPr>
            <sz val="9"/>
            <color indexed="81"/>
            <rFont val="Tahoma"/>
            <family val="2"/>
            <charset val="163"/>
          </rPr>
          <t xml:space="preserve">
Theo tên trường thành lập</t>
        </r>
      </text>
    </comment>
  </commentList>
</comments>
</file>

<file path=xl/sharedStrings.xml><?xml version="1.0" encoding="utf-8"?>
<sst xmlns="http://schemas.openxmlformats.org/spreadsheetml/2006/main" count="2554" uniqueCount="1056">
  <si>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</si>
  <si>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</si>
  <si>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</si>
  <si>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</si>
  <si>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</si>
  <si>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</si>
  <si>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</si>
  <si>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</si>
  <si>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</si>
  <si>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</si>
  <si>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</si>
  <si>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</si>
  <si>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</si>
  <si>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</si>
  <si>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</si>
  <si>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</si>
  <si>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</si>
  <si>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</si>
  <si>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</si>
  <si>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</si>
  <si>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</si>
  <si>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</si>
  <si>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</si>
  <si>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</si>
  <si>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</si>
  <si>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</si>
  <si>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</si>
  <si>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</si>
  <si>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</si>
  <si>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</si>
  <si>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</si>
  <si>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</si>
  <si>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</si>
  <si>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</si>
  <si>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</si>
  <si>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</si>
  <si>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</si>
  <si>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</si>
  <si>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</si>
  <si>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</si>
  <si>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</si>
  <si>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</si>
  <si>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</si>
  <si>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</si>
  <si>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</si>
  <si>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</si>
  <si>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</si>
  <si>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</si>
  <si>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</si>
  <si>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</si>
  <si>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</si>
  <si>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</si>
  <si>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</si>
  <si>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</si>
  <si>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</si>
  <si>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</si>
  <si>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</si>
  <si>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</si>
  <si>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</si>
  <si>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</si>
  <si>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</si>
  <si>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</si>
  <si>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</si>
  <si>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</si>
  <si>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</si>
  <si>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</si>
  <si>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</si>
  <si>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</si>
  <si>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</si>
  <si>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</si>
  <si>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</si>
  <si>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</si>
  <si>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</si>
  <si>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</si>
  <si>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</si>
  <si>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</si>
  <si>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</si>
  <si>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</si>
  <si>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</si>
  <si>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</si>
  <si>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</si>
  <si>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</si>
  <si>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</si>
  <si>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</si>
  <si>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</si>
  <si>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</si>
  <si>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</si>
  <si>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</si>
  <si>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</si>
  <si>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</si>
  <si>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</si>
  <si>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</si>
  <si>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</si>
  <si>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</si>
  <si>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</si>
  <si>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</si>
  <si>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</si>
  <si>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</si>
  <si>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</si>
  <si>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</si>
  <si>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</si>
  <si>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</si>
  <si>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</si>
  <si>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</si>
  <si>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</si>
  <si>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</si>
  <si>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</si>
  <si>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</si>
  <si>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</si>
  <si>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</si>
  <si>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</si>
  <si>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</si>
  <si>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</si>
  <si>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</si>
  <si>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</si>
  <si>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</si>
  <si>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</si>
  <si>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</si>
  <si>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</si>
  <si>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</si>
  <si>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</si>
  <si>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</si>
  <si>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</si>
  <si>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</si>
  <si>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</si>
  <si>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</si>
  <si>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</si>
  <si>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</si>
  <si>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</si>
  <si>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</si>
  <si>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</si>
  <si>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</si>
  <si>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</si>
  <si>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</si>
  <si>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</si>
  <si>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</si>
  <si>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</si>
  <si>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</si>
  <si>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</si>
  <si>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</si>
  <si>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</si>
  <si>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</si>
  <si>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</si>
  <si>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</si>
  <si>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</si>
  <si>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</si>
  <si>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</si>
  <si>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</si>
  <si>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</si>
  <si>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</si>
  <si>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</si>
  <si>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</si>
  <si>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</si>
  <si>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</si>
  <si>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</si>
  <si>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</si>
  <si>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</si>
  <si>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</si>
  <si>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</si>
  <si>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</si>
  <si>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</si>
  <si>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</si>
  <si>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</si>
  <si>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</si>
  <si>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</si>
  <si>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</si>
  <si>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</si>
  <si>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</si>
  <si>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</si>
  <si>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</si>
  <si>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</si>
  <si>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</si>
  <si>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</si>
  <si>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</si>
  <si>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</si>
  <si>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</si>
  <si>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</si>
  <si>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</si>
  <si>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</si>
  <si>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</si>
  <si>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</si>
  <si>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</si>
  <si>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</si>
  <si>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</si>
  <si>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</si>
  <si>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</si>
  <si>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</si>
  <si>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</si>
  <si>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</si>
  <si>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</si>
  <si>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</si>
  <si>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</si>
  <si>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</si>
  <si>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</si>
  <si>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</si>
  <si>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</si>
  <si>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</si>
  <si>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</si>
  <si>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</si>
  <si>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</si>
  <si>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</si>
  <si>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</si>
  <si>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</si>
  <si>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</si>
  <si>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</si>
  <si>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</si>
  <si>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</si>
  <si>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</si>
  <si>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</si>
  <si>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</si>
  <si>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</si>
  <si>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</si>
  <si>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</si>
  <si>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</si>
  <si>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</si>
  <si>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</si>
  <si>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</si>
  <si>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</si>
  <si>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</si>
  <si>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</si>
  <si>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</si>
  <si>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</si>
  <si>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</si>
  <si>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</si>
  <si>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</si>
  <si>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</si>
  <si>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</si>
  <si>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</si>
  <si>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</si>
  <si>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</si>
  <si>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</si>
  <si>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</si>
  <si>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</si>
  <si>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</si>
  <si>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</si>
  <si>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</si>
  <si>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</si>
  <si>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</si>
  <si>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</si>
  <si>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</si>
  <si>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</si>
  <si>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</si>
  <si>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</si>
  <si>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</si>
  <si>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</si>
  <si>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</si>
  <si>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</si>
  <si>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</si>
  <si>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</si>
  <si>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</si>
  <si>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</si>
  <si>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</si>
  <si>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</si>
  <si>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</si>
  <si>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</si>
  <si>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</si>
  <si>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</si>
  <si>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</si>
  <si>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</si>
  <si>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</si>
  <si>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</si>
  <si>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</si>
  <si>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</si>
  <si>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</si>
  <si>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</si>
  <si>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</si>
  <si>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</si>
  <si>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</si>
  <si>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</si>
  <si>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</si>
  <si>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</si>
  <si>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</si>
  <si>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</si>
  <si>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</si>
  <si>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</si>
  <si>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</si>
  <si>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</si>
  <si>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Số quyết định; ngày, tháng, năm ban hành</t>
  </si>
  <si>
    <t>(3)</t>
  </si>
  <si>
    <t>(4)</t>
  </si>
  <si>
    <t>a)</t>
  </si>
  <si>
    <t>b)</t>
  </si>
  <si>
    <t>Tỉnh Điện Biên</t>
  </si>
  <si>
    <t>Kế hoạch trung hạn đã giao đến hết năm 2017</t>
  </si>
  <si>
    <t>Nhu cầu kế hoạch năm 2018</t>
  </si>
  <si>
    <t>Các dự án hoàn thành, bàn giao, đưa vào sử dụng đến ngày 31/12 năm 2017</t>
  </si>
  <si>
    <t>Các dự án dự kiến hoàn thành năm 2018</t>
  </si>
  <si>
    <t>Các dự án chuyển tiếp hoàn thành sau năm 2018</t>
  </si>
  <si>
    <t>Quyết định đầu tư ban đầu hoặc QĐ đầu tư điều chỉnh đã được cấp thẩm quyền phê duyệt</t>
  </si>
  <si>
    <t xml:space="preserve">Lũy kế số vốn đã bố trí từ khởi công đến hết năm 2015 </t>
  </si>
  <si>
    <t>Lũy kế giải ngân từ khởi công đến hết ngày 31/12/2015</t>
  </si>
  <si>
    <t>Lũy kế vốn đã bố trí đến 31/12/2016</t>
  </si>
  <si>
    <t xml:space="preserve">Kế hoạch năm 2016 đã được cấp có thẩm quyền quyết định </t>
  </si>
  <si>
    <t>2016-2020</t>
  </si>
  <si>
    <t>Khối lượng</t>
  </si>
  <si>
    <t xml:space="preserve">Trong đó: NSĐP </t>
  </si>
  <si>
    <t>Thu hồi các khoản ứng trước NSĐP</t>
  </si>
  <si>
    <t>Thanh toán nợ XDCB</t>
  </si>
  <si>
    <t xml:space="preserve"> Tổng nguồn</t>
  </si>
  <si>
    <t>A1</t>
  </si>
  <si>
    <t>Nguồn vốn được phân bổ</t>
  </si>
  <si>
    <t>1)</t>
  </si>
  <si>
    <t xml:space="preserve">Vốn hỗ trợ CĐNSĐP theo tiêu chí </t>
  </si>
  <si>
    <t xml:space="preserve"> - Vốn theo tiêu chí 40/QĐ-CP</t>
  </si>
  <si>
    <t xml:space="preserve"> - Chênh lệch bội thu NSĐP so với số thực chi trả</t>
  </si>
  <si>
    <t>2)</t>
  </si>
  <si>
    <t xml:space="preserve"> Vốn từ nguồn thu sử dụng đất</t>
  </si>
  <si>
    <t>3)</t>
  </si>
  <si>
    <t xml:space="preserve"> Vốn Xổ số kiến thiết</t>
  </si>
  <si>
    <t>A2</t>
  </si>
  <si>
    <t>Nguồn vốn không phân bổ thực hiện dự án (bố trí để trả nợ vay, lãi vay)</t>
  </si>
  <si>
    <t xml:space="preserve"> </t>
  </si>
  <si>
    <t>Chi tiết ở phần cuối Biểu</t>
  </si>
  <si>
    <t xml:space="preserve"> Bội thu ngân sách địa phương</t>
  </si>
  <si>
    <t>Chính phủ cho vay để trả nợ gốc</t>
  </si>
  <si>
    <t>Chênh lệch bội thu NSĐP so với số thực chi trả</t>
  </si>
  <si>
    <t>Phân bổ thực hiện theo địa bàn</t>
  </si>
  <si>
    <t>Trong đó: Chi cho Giáo dục 20%</t>
  </si>
  <si>
    <t>B1</t>
  </si>
  <si>
    <t>Nguồn vốn theo tiếu chí 40/2015/QĐ-TTg + Nguồn thu sử dụng đất</t>
  </si>
  <si>
    <t>Dự án chuyển tiếp từ giai đoạn 2011-2015 sang giai đoạn 2016-2020</t>
  </si>
  <si>
    <t>Dự án hoàn thành và bàn giao đưa vào sử dụng trước năm 2015</t>
  </si>
  <si>
    <t>Dự án chuyển tiếp sang giai đoạn 2016-2020</t>
  </si>
  <si>
    <t>Dự án khởi công mới trong giai đoạn 2016-2020</t>
  </si>
  <si>
    <t xml:space="preserve"> Đối ứng các dự án ODA</t>
  </si>
  <si>
    <t xml:space="preserve"> Trả nợ Ngân hàng PT
 (tín dụng NN)</t>
  </si>
  <si>
    <t xml:space="preserve"> Hỗ trợ Dự án trọng điểm </t>
  </si>
  <si>
    <t>Vốn theo tiêu chí phân bổ</t>
  </si>
  <si>
    <t xml:space="preserve">Thành phố Điện Biên Phủ </t>
  </si>
  <si>
    <t>ĐBP</t>
  </si>
  <si>
    <t>Hết nhu cầu</t>
  </si>
  <si>
    <t xml:space="preserve"> Hạ tầng khu du lịch Him Lam GĐ II</t>
  </si>
  <si>
    <t>Công trình Cải tạo, xử lý triệt để ô nhiễm bãi chôn lấp rác thải Noong Bua, thành phố Điện Biên Phủ</t>
  </si>
  <si>
    <t xml:space="preserve">316/QĐ-UBND 
18/3/2016 </t>
  </si>
  <si>
    <t>Nhà lớp học năng khiếu + cải tạo, sửa chữa Nhà thiếu nhi tỉnh Điện Biên</t>
  </si>
  <si>
    <t>Xây dựng trường Mầm non Hoa Hồng</t>
  </si>
  <si>
    <t>1271/QĐ-UBND
14/10/2016</t>
  </si>
  <si>
    <t>Xây dựng trường Mầm non Hoa Mai</t>
  </si>
  <si>
    <t>1272/QĐ-UBND
14/10/2016</t>
  </si>
  <si>
    <t xml:space="preserve">Đường tổ dân phố 21, phường Him Lam (L=997,05m) </t>
  </si>
  <si>
    <t>1397/QĐ-UBND
28/10/2016</t>
  </si>
  <si>
    <t>Đầu tư bổ sung CSVC trung tâm KTTH-HN tỉnh</t>
  </si>
  <si>
    <t>876/QĐ-UBND  06/7/2016</t>
  </si>
  <si>
    <t>Đường vào Trường Dạy nghề tỉnh Điện Biên</t>
  </si>
  <si>
    <t>Cầu dầm BTCT L=33 m bản Ta Pô</t>
  </si>
  <si>
    <t>Hạ tầng kỹ thuật khung khu trụ sở cơ quan, khu công cộng, khu thương mại dịch vụ dọc trục đường 60m</t>
  </si>
  <si>
    <t>2018-2022</t>
  </si>
  <si>
    <t>Xây dựng trường mầm non Nam Thanh</t>
  </si>
  <si>
    <t>ĐB</t>
  </si>
  <si>
    <t>Huyện Điện Biên</t>
  </si>
  <si>
    <t>Điện Biên</t>
  </si>
  <si>
    <t>Kè chống sạt lở khu dân cư trung tâm xã Thanh Luông, xã Thanh Luông, huyện Điện Biên</t>
  </si>
  <si>
    <t>550/QĐ-UBND ngày 14/6/2011</t>
  </si>
  <si>
    <t xml:space="preserve"> Đường Tây Trang-Bản Pa Thơm</t>
  </si>
  <si>
    <t>29km</t>
  </si>
  <si>
    <t xml:space="preserve"> 15-19</t>
  </si>
  <si>
    <t xml:space="preserve"> 837-30/10/2014</t>
  </si>
  <si>
    <t>Trung tâm Hội Nghị huyện ĐB</t>
  </si>
  <si>
    <t xml:space="preserve">Thủy lợi xã Thanh Nưa </t>
  </si>
  <si>
    <t>40 ha</t>
  </si>
  <si>
    <t>1375/QĐ-UBND 28/10/2016</t>
  </si>
  <si>
    <t>Đường QL279 - Trại 2, xã Thanh Xương, huyện Điện Biên</t>
  </si>
  <si>
    <t>1170/QĐ-UBND 20/09/2016</t>
  </si>
  <si>
    <t>Trụ sở xã Thanh xương</t>
  </si>
  <si>
    <t>1251/QĐ-UBND
10/10/2016</t>
  </si>
  <si>
    <t>Đường QL279 - đi bản Nà Pen 1,2,3 xã Nà Nhạn, huyện Điện Biên</t>
  </si>
  <si>
    <t>Thủy lợi Nà Láo xã Nà Tấu</t>
  </si>
  <si>
    <t>2018-2020</t>
  </si>
  <si>
    <t>193/QĐ-UBND; 17/02/2016</t>
  </si>
  <si>
    <t>Bố trí sắp xếp ổn định dân TĐC hồ Nậm Khẩu Hu, xã Hua Thanh, huyện Điện Biên</t>
  </si>
  <si>
    <t>1326/QĐ-UB
27/10/2016</t>
  </si>
  <si>
    <t xml:space="preserve"> - Lồng ghép vốn đóng góp của DN 9 tỷ </t>
  </si>
  <si>
    <t xml:space="preserve"> Nâng cấp đường vào điểm du lịch tâm linh Linh Sơn xã Thanh Luông, huyện Điện Biên.</t>
  </si>
  <si>
    <t>1261/QĐ-UBND 12/10/2016</t>
  </si>
  <si>
    <t>PKĐKKV Mường Nhà</t>
  </si>
  <si>
    <t>1343/QĐ-UBND 28/10/2016</t>
  </si>
  <si>
    <t>Nước sinh hoạt tập trung khu vực Pom Lót huyện Điện Biên</t>
  </si>
  <si>
    <t>Trụ sở xã Thanh Nưa</t>
  </si>
  <si>
    <t xml:space="preserve"> Đường nội thị huyện Điện Biên (GĐII)</t>
  </si>
  <si>
    <t>Thủy lợi Na Men xã Mường Nhà  huyện Điện Biên</t>
  </si>
  <si>
    <t>2019-2021</t>
  </si>
  <si>
    <t xml:space="preserve">Xây dựng trụ sở UBND xã Sam Mứn   </t>
  </si>
  <si>
    <t>Huyện Tuần Giáo</t>
  </si>
  <si>
    <t>Tuần Giáo</t>
  </si>
  <si>
    <t>Trụ sở xã chiềng sinh huyện Tuần Giáo</t>
  </si>
  <si>
    <t>Trường THCS xã Chiềng Đông huyện Tuần Giáo</t>
  </si>
  <si>
    <t>1493/QĐ-UB
29/11/2016</t>
  </si>
  <si>
    <t>Sửa chữa đường Mường Khong - Bản Huổi Nôm</t>
  </si>
  <si>
    <t xml:space="preserve"> Trụ sở  xã Tỏa Tình huyện Tuần Giáo</t>
  </si>
  <si>
    <t>326/QĐ-UBND
14/04/2017</t>
  </si>
  <si>
    <t>Trụ sở xã Ta Ma huyện Tuần Giáo</t>
  </si>
  <si>
    <t>1455/QĐ-UBND 17/11/2016</t>
  </si>
  <si>
    <t>Trụ sở xã Phình Sáng huyện Tuần Giáo</t>
  </si>
  <si>
    <t>1457/QĐ-UBND 17/11/2016</t>
  </si>
  <si>
    <t xml:space="preserve"> Trụ sở xã Tênh Phông huyện Tuần Giáo</t>
  </si>
  <si>
    <t>1456/QĐ-UBND 17/11/2016</t>
  </si>
  <si>
    <t>Nâng cấp công trình Thủy lợi Nà Chua</t>
  </si>
  <si>
    <t>Trường THCS xã Quài Cang huyện Tuần Giáo</t>
  </si>
  <si>
    <t>Trường Mầm non thị trấn Tuần Giáo</t>
  </si>
  <si>
    <t>Trường MN Mùn Chung xã Mùn Chung</t>
  </si>
  <si>
    <t>Đường Trung tâm xã Rạng Đông – Bản Háng Á</t>
  </si>
  <si>
    <t>5km</t>
  </si>
  <si>
    <t xml:space="preserve">Huyện Điện Biên Đông </t>
  </si>
  <si>
    <t>Điện Biên
 Đông</t>
  </si>
  <si>
    <t>Đường Nậm Ngám- Pu Nhi A,B,C,D xã Pu Nhi đến bản Sư Lư 1,2,3,4,5 xã Na Son</t>
  </si>
  <si>
    <t>344, ngày 19/4/2011</t>
  </si>
  <si>
    <t>Xây dựng trường Mầm non Pu Nhi xã Pu Nhi</t>
  </si>
  <si>
    <t>1220/QĐ-UBND
30/9/2016</t>
  </si>
  <si>
    <t>Trụ sở thị trấn huyện Điện Biên Đông</t>
  </si>
  <si>
    <t>1365/QĐ-UBND
28/10/2016</t>
  </si>
  <si>
    <t>ĐBĐ</t>
  </si>
  <si>
    <t>Phương án bố trí dân cư vùng có nguy cơ sạt lở, lũ quét, ĐBKK các bản Suối Lư I, Suối Lư II, Suối Lư III, đến định cư tại khu vực Huổi Po, xã Keo Lôm, huyện Điện Biên Đông</t>
  </si>
  <si>
    <t>H.ĐBĐ</t>
  </si>
  <si>
    <t>74 hộ</t>
  </si>
  <si>
    <t>2015-2018</t>
  </si>
  <si>
    <t>151/QĐ-UBND 14/02/2015</t>
  </si>
  <si>
    <t xml:space="preserve"> Đường Pá Pao - Mường Luân xã Mường Luân</t>
  </si>
  <si>
    <t>Nâng cấp sửa chữa đường nội thị, thảm bê tông nhựa hạt trung một số trục đường nội thị thị trấn Điện Biên Đông</t>
  </si>
  <si>
    <t>Đường Mường Luân - Co Kham - Na Hát - Páo Sinh</t>
  </si>
  <si>
    <t>Trường Tiểu học Chiềng Sơ</t>
  </si>
  <si>
    <t>Tôn tạo sân vận động thị trấn Điện Biên Đông</t>
  </si>
  <si>
    <t>TMĐT 5 tỷ đồng, GĐ 2016-2020 bố trí 3 tỷ, năm 2021 bố trí 2 tỷ)</t>
  </si>
  <si>
    <t>Trạm y tế Phì Nhừ</t>
  </si>
  <si>
    <t>Nâng cấp đường vào xã Noong U</t>
  </si>
  <si>
    <t>Huyện Mường Ảng</t>
  </si>
  <si>
    <t>Mường Ẳng</t>
  </si>
  <si>
    <t xml:space="preserve"> Đường nội thị giai đoạn I (Đoạn QL 279 đi trung tâm hành chính huyện)</t>
  </si>
  <si>
    <t>891/QĐ-UBND
21/7/2010</t>
  </si>
  <si>
    <t>Công trình hoàn thành năm 2015, bổ sung hạng mục do còn dư vốn dự phòng</t>
  </si>
  <si>
    <t>Trường THCS Mường Lạn</t>
  </si>
  <si>
    <t xml:space="preserve"> 925/QĐ-UBND; 29/9/2015</t>
  </si>
  <si>
    <t>Hồ chứa nước Ẳng Cang (Dự án Nhóm B)</t>
  </si>
  <si>
    <t xml:space="preserve"> 400ha lúa, 1000 ha cà phê, NSH 10.000 dân</t>
  </si>
  <si>
    <t xml:space="preserve"> 2009-2015</t>
  </si>
  <si>
    <t>1487QĐ-UB
17/03/2011
06/12//2007
'249/QĐ-UB</t>
  </si>
  <si>
    <t>CĐNSĐP tỉnh hỗ trợ 60 tỷ</t>
  </si>
  <si>
    <t>Trụ sở liên cơ trạm bảo vệ thực vật, trạm thú y, hạt kiểm lâm huyện Mường Ảng</t>
  </si>
  <si>
    <t>1383/QĐ-UBND
28/10/2016</t>
  </si>
  <si>
    <t>Trường Mầm non Sơn Ca huyện Mường Ảng</t>
  </si>
  <si>
    <t>1346/QĐ-UBND
28/10/2016</t>
  </si>
  <si>
    <t>Trường Mầm non Ảng Nưa, xã Ảng Nưa, huyện Mường Ảng</t>
  </si>
  <si>
    <t>1316/QĐ-UBND
27/10/2016</t>
  </si>
  <si>
    <t>Đường tránh lũ bản Chiềng Lao - Pha Hún, xã Xuân Lao</t>
  </si>
  <si>
    <t>1342/QĐ-UBND 28/10/2016</t>
  </si>
  <si>
    <t>1315/QĐ-UBND 27/10/2016</t>
  </si>
  <si>
    <t xml:space="preserve"> Đường + Ngầm tràn bản Pá Nậm, xã Mường Lạn</t>
  </si>
  <si>
    <t>Huyện Mường Nhé</t>
  </si>
  <si>
    <t>Mường Nhé</t>
  </si>
  <si>
    <t>Nậm Pồ</t>
  </si>
  <si>
    <t xml:space="preserve"> Đường Sen Thượng - Lò San Chái</t>
  </si>
  <si>
    <t>2128/QĐ-UB
3/12/2009</t>
  </si>
  <si>
    <t xml:space="preserve"> Thủy lợi Pờ Nhù Khò</t>
  </si>
  <si>
    <t>1338/QĐ-UB
2/1/2010</t>
  </si>
  <si>
    <t>Cầu treo bản Mường Nhé, xã Mường Nhé</t>
  </si>
  <si>
    <t> 921/QĐ-UBND
21/07/2016</t>
  </si>
  <si>
    <t>Sân vận động huyện Mường Nhé, tỉnh Điện Biên</t>
  </si>
  <si>
    <t>1396/QĐ-UBND 28/10/2016</t>
  </si>
  <si>
    <t xml:space="preserve">Trường dân tộc nội trú THCS Sín Thầu </t>
  </si>
  <si>
    <t>993/QĐ-UB 01/8/2016</t>
  </si>
  <si>
    <t>Trường THCS Chung Chải - Mường Nhé</t>
  </si>
  <si>
    <t>1164/QĐ-UBND 19/9/2016</t>
  </si>
  <si>
    <t>Trụ sở xã Leng Su Sìn</t>
  </si>
  <si>
    <t xml:space="preserve">1082/QĐ-UBND 26/8/2016 </t>
  </si>
  <si>
    <t>Trụ sở xã Nậm Kè</t>
  </si>
  <si>
    <t>Đường Ngã Ba - Huổi Pinh xã Mường Toong, huyện Mường Nhé</t>
  </si>
  <si>
    <t xml:space="preserve"> 887/QĐ-UBND ngày 11/07/2016</t>
  </si>
  <si>
    <t>1348/QĐ-UBND ngày 28/10/2016</t>
  </si>
  <si>
    <t>Trụ sở xã Huổi Lếch</t>
  </si>
  <si>
    <t>Trường THCS xã Huổi Lếch</t>
  </si>
  <si>
    <t>Nhà Đa năng và các hạng mục phụ trợ trường THPT huyện Mường Nhé</t>
  </si>
  <si>
    <t xml:space="preserve">Huyện Mường Chà </t>
  </si>
  <si>
    <t>Mường Chà</t>
  </si>
  <si>
    <t xml:space="preserve"> Đường Hừa Ngài - Pa Ham</t>
  </si>
  <si>
    <t>989, ngày 31/10/2012</t>
  </si>
  <si>
    <t>1446/QĐ-UBND
23/12/2015</t>
  </si>
  <si>
    <t xml:space="preserve">Xây dựng cơ sở hạ tầng khu A thị trấn Mường Chà </t>
  </si>
  <si>
    <t>1338/QĐ-UBND
28/10/2016</t>
  </si>
  <si>
    <t>Nâng cấp đường giao thông QL 12 - bản Huổi Meo</t>
  </si>
  <si>
    <t>1035/QĐ-UBND
10/8/2016</t>
  </si>
  <si>
    <t>Nâng cấp trường Mầm non Sá Tổng, xã Sá Tổng</t>
  </si>
  <si>
    <t>1344/QĐ-UBND
 28/10/2016</t>
  </si>
  <si>
    <t>Trường Tiểu học Huổi Mí xã Huổi Mí</t>
  </si>
  <si>
    <t>1188/QĐ-UBND
26/9/2016</t>
  </si>
  <si>
    <t>Trường Mầm non Pa Ham xã Pa Ham</t>
  </si>
  <si>
    <t>1323/QĐ-UBND
 27/10/2016</t>
  </si>
  <si>
    <t>Trường THCS Huổi Mí xã Huổi Mí</t>
  </si>
  <si>
    <t>Trường mầm non Nậm Nèn, xã Nậm Nèn</t>
  </si>
  <si>
    <t xml:space="preserve"> Đường giao thông Km8+150 (đường QL12- Hừa Ngài) - bản Thèn Pả (L=4,4km)</t>
  </si>
  <si>
    <t>Đường giao thông TT xã Hừa Ngài - bản Phua Di Tổng</t>
  </si>
  <si>
    <t>Bãi xử lý rác thải huyện</t>
  </si>
  <si>
    <t>VIII</t>
  </si>
  <si>
    <t>Huyện Tủa Chùa</t>
  </si>
  <si>
    <t>Tủa Chùa</t>
  </si>
  <si>
    <t xml:space="preserve"> Truờng Mầm non, THCS xã Sín chải (gđ I-gđII)</t>
  </si>
  <si>
    <t>Dự án bố trí ổn định dân cư vùng thiên tai bản Hột, xã Mường Đun, huyện Tủa Chùa.</t>
  </si>
  <si>
    <t>H.TC</t>
  </si>
  <si>
    <t>54 hộ</t>
  </si>
  <si>
    <t>189/QĐ-UBND 10/10/2014</t>
  </si>
  <si>
    <t>Thủy Lợi Bản Hán, xã Mường Đun</t>
  </si>
  <si>
    <t>1376/QĐ-UBND 28/10/2016</t>
  </si>
  <si>
    <t>368/QĐ-UBND
29/3/2016</t>
  </si>
  <si>
    <t>Trụ sở xã Sính Phình</t>
  </si>
  <si>
    <t>358/QĐ-UBND
28/3/2016</t>
  </si>
  <si>
    <t>Trụ sở xã Mường Đun</t>
  </si>
  <si>
    <t>367/QĐ-UBND
29/3/2016</t>
  </si>
  <si>
    <t>Trụ sở Đảng ủy - HĐND - UBND xã Xá Nhè, huyện Tủa Chùa</t>
  </si>
  <si>
    <t>1368/QĐ-UBND
28/10/2016</t>
  </si>
  <si>
    <t>Xây dựng đường vào và các công trình phụ trợ thuộc di tích cấp Quốc gia, danh lam thắng cảnh hang động Xá Nhè và Khó Chua La, xã Xá Nhè, huyện Tủa Chùa</t>
  </si>
  <si>
    <t>1385/QĐ-UBND 28/10/2016</t>
  </si>
  <si>
    <t>Đường Cu Dỉ Sang (xã Tả Phìn) - Lầu Câu Phình (xã Lao Xả Phình), huyện Tủa Chùa</t>
  </si>
  <si>
    <t>1237/QĐ-UB
04/10/2016</t>
  </si>
  <si>
    <t>Trường mầm non thị trấn Tủa Chùa</t>
  </si>
  <si>
    <t>Trụ sở làm việc Phòng Văn hóa - Thông tin huyện</t>
  </si>
  <si>
    <t>Các tuyến nhánh A, B, D đường nội thị thị trấn Tủa Chùa</t>
  </si>
  <si>
    <t>Tổng mức đầu tư 40 tỷ đồng (GĐ 2016-2020 bố trí 15 tỷ đồng; GĐ 2021-2025 bố trí phần vốn còn lại)</t>
  </si>
  <si>
    <t>Nước sinh hoạt trung tâm xã Huổi Só và bản Huổi Tra</t>
  </si>
  <si>
    <t>Bãi rác thị trấn Tủa Chùa</t>
  </si>
  <si>
    <t>IX</t>
  </si>
  <si>
    <t>Huyện Nậm Pồ</t>
  </si>
  <si>
    <t>Trụ sở liên cơ trạm bảo vệ thực vật, trạm thú y, trạm khuyến nông, hạt kiểm lâm huyện Nậm Pồ</t>
  </si>
  <si>
    <t>1367/QĐ-UBND
28/10/2016</t>
  </si>
  <si>
    <t>Trụ sở xã Chà Nưa</t>
  </si>
  <si>
    <t>1339/QĐ-UBND
28/10/2016</t>
  </si>
  <si>
    <t>Đường dân sinh Vàng Đán Dạo - Huổi Dạo xã Vàng Đán</t>
  </si>
  <si>
    <t>1373/QĐ-UBND 28/10/2016</t>
  </si>
  <si>
    <t>Trường Tiểu học trung tâm huyện Nậm Pồ</t>
  </si>
  <si>
    <t>1345/QĐ-UBND ngày 28/10/2016</t>
  </si>
  <si>
    <t>Trường phổ thông DTNT THPT huyện Nậm Pồ (huyện/ trường mới thành lập)</t>
  </si>
  <si>
    <t xml:space="preserve">Thao trường huyện Nậm Pồ </t>
  </si>
  <si>
    <t>Trường THCS huyện Nậm Pồ</t>
  </si>
  <si>
    <t>Trường Mầm non trung tâm huyện</t>
  </si>
  <si>
    <t xml:space="preserve"> Nhà Văn hóa xã Pa Tần</t>
  </si>
  <si>
    <t>Trường Mầm non xã Chà Cang, Nậm Pồ</t>
  </si>
  <si>
    <t>Văn bản số 773/UBND-VX ngày 29/3/2016 của UBND tỉnh (2568)</t>
  </si>
  <si>
    <t xml:space="preserve"> Trung tâm dạy nghề và giới thiệu việc làm huyện Nậm Pồ</t>
  </si>
  <si>
    <t>X</t>
  </si>
  <si>
    <t>Thị xã Mường Lay</t>
  </si>
  <si>
    <t>TXML</t>
  </si>
  <si>
    <t xml:space="preserve">Hệ thống lưới điện sinh hoạt bản Hô Huổi Luông (8 km) </t>
  </si>
  <si>
    <t>Hệ thống lưới điện sinh hoạt bản Hô Nậm Cản (7 km)</t>
  </si>
  <si>
    <t>Hệ thống lưới điện sinh hoạt bản Huổi Luân (2 km)</t>
  </si>
  <si>
    <t>Trụ sở làm việc Công an xã Lay Nưa và  Ban CHQS cấp xã thị xã Mường Lay</t>
  </si>
  <si>
    <t xml:space="preserve">XI </t>
  </si>
  <si>
    <t xml:space="preserve"> Quốc phòng - An ninh</t>
  </si>
  <si>
    <t>TPĐBP</t>
  </si>
  <si>
    <t xml:space="preserve"> Hỗ trợ đầu tư công trình AD 05</t>
  </si>
  <si>
    <t>174/QĐ-UBND, 24/02/2006
02//QĐ-UBND, 16/02/2011</t>
  </si>
  <si>
    <t>Dự án đường ra biên giới Nậm Nhừ - Mốc 43 xã Nà Khoa Mường Nhé</t>
  </si>
  <si>
    <t>957/QĐ-UBND
 22/10/2012</t>
  </si>
  <si>
    <t>Hỗ trợ thiết bị Trung tâm chỉ huy  CSLV Khối An ninh - trực thuộc công an tỉnh</t>
  </si>
  <si>
    <t>Bố trí dứt điểm năm 2018</t>
  </si>
  <si>
    <t>Hỗ trợ kinh phí cải tạo sữa chữa nhà làm việc khối Cảnh sát thuộc trụ sở làm việc Công an tỉnh Điện Biên.</t>
  </si>
  <si>
    <t>Đền bù GPMB cụm điểm tựa phòng ngự cấp tiểu đoàn  (địa bàn huyện Điện Biên)</t>
  </si>
  <si>
    <t>Nhà tạm giữ xử phạt hành chính thuộc Công an huyện Tuần Giáo</t>
  </si>
  <si>
    <t>Cấp nước cửa khẩu Huổi Puốc</t>
  </si>
  <si>
    <t xml:space="preserve"> 446/QĐ-UBND ngày 22/05/2017</t>
  </si>
  <si>
    <t xml:space="preserve"> Trụ sở làm việc Ban CHQS xã - Công an xã (3 xã) huyện Mường Chà  (mỗi xã 1.300 triệu đồng)</t>
  </si>
  <si>
    <t>Mường 
Chà</t>
  </si>
  <si>
    <t>Mường Ảng</t>
  </si>
  <si>
    <t>XII</t>
  </si>
  <si>
    <t xml:space="preserve"> Khoa học và công nghệ</t>
  </si>
  <si>
    <t>Công trình quyết toán còn nợ vốn</t>
  </si>
  <si>
    <t xml:space="preserve"> Dự án ứng dụng công nghệ thông tin trong HĐ các cơ quan Đảng Tỉnh Điện Biên</t>
  </si>
  <si>
    <t>333/QĐ-UBND
23/3/2016</t>
  </si>
  <si>
    <t>XIII</t>
  </si>
  <si>
    <t xml:space="preserve"> Hỗ trợ dân tộc đặc biệt khó khăn (Dân tộc Cống) tỉnh ĐB (QĐ 1672/QĐ-TTg)</t>
  </si>
  <si>
    <t>MN</t>
  </si>
  <si>
    <t>2016-2018</t>
  </si>
  <si>
    <t>Cầu treo bản Púng Bon xã Pa Thơm huyện Điện Biên</t>
  </si>
  <si>
    <t>*</t>
  </si>
  <si>
    <t>XIV</t>
  </si>
  <si>
    <t xml:space="preserve"> Các ngành Tỉnh - CT Công cộng</t>
  </si>
  <si>
    <t xml:space="preserve"> Bảo tồn, tôn tạo di tích Khu trung tâm đề kháng Him Lam </t>
  </si>
  <si>
    <t>2007-2011</t>
  </si>
  <si>
    <t xml:space="preserve"> 528/QĐ-UBND  17/5/2006</t>
  </si>
  <si>
    <t>Trường THPT Lương Thế Vinh</t>
  </si>
  <si>
    <t>Đường dạo leo núi khu du lịch Pa Khoang</t>
  </si>
  <si>
    <t xml:space="preserve"> Dự án cấp điện nông thôn từ lưới điện quốc gia tỉnh Điện Biên giai đoạn 2014- 2020 </t>
  </si>
  <si>
    <t>802/QĐ-UBND
22/10/2014</t>
  </si>
  <si>
    <t xml:space="preserve"> Đối ứng nguốn vốn NSTW</t>
  </si>
  <si>
    <t>Kè chống sạt lở bờ sông Nậm Rốm (Giai đoạn II)</t>
  </si>
  <si>
    <t>Trung tâm đăng kiểm xe cơ giới tỉnh Điện Biên</t>
  </si>
  <si>
    <t>1145/QĐ-UBND
30/10/2015</t>
  </si>
  <si>
    <t xml:space="preserve">Nhà thư viện thuộc Dự án Nhà thí nghiệm, thư viện Trường Cao đẳng Kinh tế - Kỹ thuật Điện Biên </t>
  </si>
  <si>
    <t>Kho lưu trữ chuyên dụng tỉnh Điện Biên</t>
  </si>
  <si>
    <t>406/QĐ-UBND
30/3/2016</t>
  </si>
  <si>
    <t xml:space="preserve"> Cải tạo, sửa chữa Đài PTTH tỉnh (sửa chữa nhà làm việc khu văn phòng, tường rào bảo vệ; xây kè chắn đất…)</t>
  </si>
  <si>
    <t>1384/QĐ-UBND 28/10/2016</t>
  </si>
  <si>
    <t>Kè bảo vệ Trung tâm hội nghị - Văn hóa tỉnh Điện Biên</t>
  </si>
  <si>
    <t>1359/QĐ-UBND
28/10/2016</t>
  </si>
  <si>
    <t xml:space="preserve"> Xây dựng một số biển tấm lớn tại các cửa khẩu</t>
  </si>
  <si>
    <t xml:space="preserve">Nhà Ký túc xá học viên và Các hạng mục phụ trợ Trường Chính trị tỉnh </t>
  </si>
  <si>
    <t>144 
người</t>
  </si>
  <si>
    <t>82/QĐ-UBND ngày 25/01/2017</t>
  </si>
  <si>
    <t xml:space="preserve"> XD Phòng học và Hội trường Trường CĐ Sư phạm</t>
  </si>
  <si>
    <t>16 PH 
+ 500 chỗ</t>
  </si>
  <si>
    <t xml:space="preserve"> Mở rộng, cải tạo trụ sở làm việc Đảng ủy dân chính Đảng tỉnh</t>
  </si>
  <si>
    <t>Cải tạo, Nâng cấp Trụ sở làm việc Trung tâm quy hoạch xây dựng đô thị và Nông thôn - Sở Xây dựng</t>
  </si>
  <si>
    <t>A)</t>
  </si>
  <si>
    <t>Các dự án ODA do địa phương quản lý</t>
  </si>
  <si>
    <t>I)</t>
  </si>
  <si>
    <t>Điện Biên Đông</t>
  </si>
  <si>
    <t>Chương trình WB</t>
  </si>
  <si>
    <t>Chương trình đô thị miền núi phía Bắc - thành phố Điện Biên Phủ, giai đoạn 2017-2020 (DB02)</t>
  </si>
  <si>
    <t>Dự án PT Nông thôn dựa vào kết quả (vốnJICA)</t>
  </si>
  <si>
    <t>Dự án mở rộng quy mô vệ sinh và nước sạch nông thôn dựa trên kết quả (vốn WB)</t>
  </si>
  <si>
    <t>B)</t>
  </si>
  <si>
    <t>Các dự án ODA do các bộ ngành Trung ương đầu tư trên địa bàn</t>
  </si>
  <si>
    <t xml:space="preserve">2192/QĐ-BVHTTDL, ngày 25/6/2015 </t>
  </si>
  <si>
    <t xml:space="preserve">1601/QĐ-BVHTTDL, ngày 29/4/2016 </t>
  </si>
  <si>
    <t>XVII</t>
  </si>
  <si>
    <t>XVIII</t>
  </si>
  <si>
    <t xml:space="preserve"> Trả nợ Ngân hàng PT, lãi vay
 (tín dụng NN)</t>
  </si>
  <si>
    <t xml:space="preserve"> Nợ vay TD ưu đãi của Ngân hàng phát triển</t>
  </si>
  <si>
    <t xml:space="preserve"> Nợ vay dự án năng lượng nông thôn (RE II)</t>
  </si>
  <si>
    <t xml:space="preserve"> Trả phí tạm ứng vốn nhàn rỗi Kho bạc nhà nước</t>
  </si>
  <si>
    <t xml:space="preserve"> Trả lãi vay đầu tư lưới điện nông thôn II (RELL II)</t>
  </si>
  <si>
    <t xml:space="preserve">  Chương trình đô thị miền núi phía Bắc - thành phố Điện Biên Phủ (DB01) năm 2016, 2017 </t>
  </si>
  <si>
    <t xml:space="preserve">  Chương trình mở rộng qui mô vệ sinh và nước sạch nông thôn dựa trên kết quả</t>
  </si>
  <si>
    <t>Trả nợ Kho bạc Nhà nước -Đường km 45 (Na Pheo - Si pa Phìn - Mường Nhé) - Nà Hỳ - Huyện Mường Nhé (nay là huyện Nậm Pồ)</t>
  </si>
  <si>
    <t>Vốn phân bổ theo tiêu chí</t>
  </si>
  <si>
    <t>B2</t>
  </si>
  <si>
    <t>Nguồn vốn Xổ số kiến thiết</t>
  </si>
  <si>
    <t>1320/QĐ-UB
27/10/2016</t>
  </si>
  <si>
    <t>Trường THPT huyện Nậm Pồ</t>
  </si>
  <si>
    <t xml:space="preserve">Theo Văn bản số 5600/TB-KBNN ngày 26/4/2016 của Bộ TC </t>
  </si>
  <si>
    <t>Ghi chú: (*) Lũy kế số vốn đã bố trí đến hết kế hoạch năm 2015, bổ sung tính đến hết ngày 31 tháng 12 năm 2015, không bao gồm số vốn ứng trước chưa bố trí kế hoạch để thu hồi</t>
  </si>
  <si>
    <t>Trong đó: vốn NSĐP</t>
  </si>
  <si>
    <t xml:space="preserve">Thu hồi các khoản vốn ứng trước </t>
  </si>
  <si>
    <t>Dự án nhóm c</t>
  </si>
  <si>
    <t xml:space="preserve">Tổng nguồn </t>
  </si>
  <si>
    <t>Vốn hỗ trợ CĐNSĐP theo tiêu chí 40/QĐ-CP</t>
  </si>
  <si>
    <t>XV</t>
  </si>
  <si>
    <t>Trường MN, THCS tại xã Phình Sáng, huyện Tuần Giáo (GĐ 1); (Lồng ghép vốn NSTW)</t>
  </si>
  <si>
    <t>Trạm y tế Quài Cang - Tuần Giáo</t>
  </si>
  <si>
    <t>Trường THCS xã Nà Sáy</t>
  </si>
  <si>
    <t>Trạm y tế Chiềng Sơ - Điện Biên Đông</t>
  </si>
  <si>
    <t>Trạm y tế Háng Lìa - Điện Biên Đông</t>
  </si>
  <si>
    <t>Trạm y tế Mùn Chung - Tuần Giáo</t>
  </si>
  <si>
    <t>Trạm y tế Phường Tân Thanh</t>
  </si>
  <si>
    <t>Trường Mầm non An Bình, xã Mường Mùn</t>
  </si>
  <si>
    <t>Trạm y tế Phình Giàng Điện Biên Đông</t>
  </si>
  <si>
    <t>Trường Mầm non xã Lao Xả Phình</t>
  </si>
  <si>
    <t>Chi phí ban quản lý dự án</t>
  </si>
  <si>
    <t>287/QĐ-UBND
03/5/2012; 270/QĐ-UBND 10/4/2015</t>
  </si>
  <si>
    <t>Trường mầm non Huổi Mí,huyện Mường Chà</t>
  </si>
  <si>
    <t>621/QĐ-UBND ngày 14/07/2017</t>
  </si>
  <si>
    <t>Trụ sở xã Mường Tùng, huyện Mường Chà</t>
  </si>
  <si>
    <t>San nền giao thông thoát nước bản Si Văn, xã Pa Thơm</t>
  </si>
  <si>
    <t>Dự án Phát triển cơ sở hạ tầng du lịch hỗ trợ cho tăng trưởng toàn diện khu vực Tiểu vùng Mê Công mở rộng</t>
  </si>
  <si>
    <t>Dự án Phát triển cơ sở hạ tầng du lịch hỗ trợ cho tăng trưởng toàn diện khu vực Tiểu vùng Mê Công mở rộng năm 2016</t>
  </si>
  <si>
    <r>
      <t xml:space="preserve"> Vốn từ nguồn thu sử dụng đất </t>
    </r>
    <r>
      <rPr>
        <i/>
        <sz val="11"/>
        <rFont val="Times New Roman"/>
        <family val="1"/>
      </rPr>
      <t xml:space="preserve">(không bao gồm đầu tư nguồn thu của cơ quan sử dụng đất; đầu tư hạ tầng từ đấu giá đất) </t>
    </r>
  </si>
  <si>
    <t>A.1</t>
  </si>
  <si>
    <t>Thủy lợi bản Ná Bá Ban, xã Mường lạn</t>
  </si>
  <si>
    <t>KH2017 bổ sung KD năm 2016 là 5 tỷ</t>
  </si>
  <si>
    <t>Các dự án hoàn thành, bàn giao, đưa vào sử dụng đến ngày 31/12/2017</t>
  </si>
  <si>
    <t>Đơn vị vốn: Triệu đồng</t>
  </si>
  <si>
    <t>Kế hoạch 2018</t>
  </si>
  <si>
    <t xml:space="preserve"> Đường Km45 (Na pheo- Si Pa Phìn) đi Nà Hỳ</t>
  </si>
  <si>
    <t>31,6km</t>
  </si>
  <si>
    <t>14-17</t>
  </si>
  <si>
    <t>CĐNSĐP tỉnh hỗ
 trợ 60 tỷ</t>
  </si>
  <si>
    <t>1228/QĐ-UBND 01/10/2010; 709/QĐ-UB (13/9/2013)</t>
  </si>
  <si>
    <t xml:space="preserve">Kế hoạch năm 2017 đã được cấp có thẩm quyền quyết định </t>
  </si>
  <si>
    <t>Kế hoạch 2018-2020</t>
  </si>
  <si>
    <t>922/QĐ-UBND ngày 09/10/2017</t>
  </si>
  <si>
    <t>Lồng ghép vốn CT 135:  3 tỷ đồng</t>
  </si>
  <si>
    <t>1183/QĐ-UBND 23/09/2016</t>
  </si>
  <si>
    <t>1352/QĐ-UBND 28/10/2016</t>
  </si>
  <si>
    <t>853/QĐ-UBND ngày 20/9/2017</t>
  </si>
  <si>
    <t>Trường THCS thị Trấn ĐBĐ</t>
  </si>
  <si>
    <t>1321/QĐ-UBND ngày 27/10/2016</t>
  </si>
  <si>
    <t>719/QĐ-UBND ngày 18/8/2017</t>
  </si>
  <si>
    <t>723/QĐ-UBND
18/08/2017</t>
  </si>
  <si>
    <t>PKĐKKV Leng Su Sìn (Thành lập mới)</t>
  </si>
  <si>
    <t>744/QĐ-UBND 25/8/2017</t>
  </si>
  <si>
    <t>2017-2019</t>
  </si>
  <si>
    <t>867/QĐ-UBND 25/9/2017</t>
  </si>
  <si>
    <t>866/QĐ-UBND 25/9/2017</t>
  </si>
  <si>
    <t>971/QĐ-UBND 25/10/2017</t>
  </si>
  <si>
    <t>Trường Mầm non Thị trấn huyện Điện Biên</t>
  </si>
  <si>
    <t>984/QĐ-UBND 27/10/2017</t>
  </si>
  <si>
    <t>985/QĐ-UBND 27/10/2017</t>
  </si>
  <si>
    <t>1005/QĐ-UBND 30/10/2017</t>
  </si>
  <si>
    <t>2018-2019</t>
  </si>
  <si>
    <t xml:space="preserve"> TIÊU CHÍ PHÂN BỔ VỐN ĐẦU TƯ PHÁT TRIỂN NSNN NGUỒN VỐN CÂN ĐỐI NSĐP TRÊN ĐỊA BÀN CÁC HUYỆN, THỊ XÃ, THÀNH PHỐ</t>
  </si>
  <si>
    <t>THUỘC TỈNH ĐIỆN BIÊN GIAI ĐOẠN 2016-2020</t>
  </si>
  <si>
    <t>(Kèm theo Quyết định số 23/QĐ-UBND ngày  23 tháng 11 năm 2015 của UBND tỉnh Điện Biên)</t>
  </si>
  <si>
    <t>Tiêu chí phân bổ</t>
  </si>
  <si>
    <t>Đơn vị</t>
  </si>
  <si>
    <t>Tổng số điểm theo tiêu trí phân bổ của TW (theo QĐ 40/2015/QĐ-TTg)</t>
  </si>
  <si>
    <t>Tổng số điểm theo tiêu chí phân bổ của tỉnh giai đoạn 2016 - 2020</t>
  </si>
  <si>
    <t>Tiêu chí</t>
  </si>
  <si>
    <t>Toàn tỉnh</t>
  </si>
  <si>
    <t>Điện Biên Phủ</t>
  </si>
  <si>
    <t>Biên Phủ</t>
  </si>
  <si>
    <t>Biên</t>
  </si>
  <si>
    <t>Giáo</t>
  </si>
  <si>
    <t>Chùa</t>
  </si>
  <si>
    <t>Chà</t>
  </si>
  <si>
    <t>Nhé</t>
  </si>
  <si>
    <t>Mường</t>
  </si>
  <si>
    <t>Đông</t>
  </si>
  <si>
    <t>Lay</t>
  </si>
  <si>
    <t>Tiêu chí phân bổ vốn XDCBTT</t>
  </si>
  <si>
    <t xml:space="preserve"> Tiêu chí về dân số </t>
  </si>
  <si>
    <t>Điểm</t>
  </si>
  <si>
    <t>Dân số năm 2014</t>
  </si>
  <si>
    <t>người</t>
  </si>
  <si>
    <t>Số 2014</t>
  </si>
  <si>
    <t>TC: 10.000 dân được 1,1 điểm</t>
  </si>
  <si>
    <t xml:space="preserve"> -</t>
  </si>
  <si>
    <t>Số điểm</t>
  </si>
  <si>
    <t>Số dân tộc thiểu số (83 điểm)</t>
  </si>
  <si>
    <t xml:space="preserve">Theo tỷ lệ năm 2009 </t>
  </si>
  <si>
    <t>TC: 10.000 dân được 1,95 điểm</t>
  </si>
  <si>
    <t>Tỷ lệ dân tộc thiểu số</t>
  </si>
  <si>
    <t>%</t>
  </si>
  <si>
    <t>Tiêu chí trình độ phát triển</t>
  </si>
  <si>
    <t>Tỷ lệ hộ nghèo (50 điểm)</t>
  </si>
  <si>
    <t>Tỷ lệ hộ nghèo (năm 2013)</t>
  </si>
  <si>
    <t xml:space="preserve"> Số hộ nghèo</t>
  </si>
  <si>
    <t>Hộ</t>
  </si>
  <si>
    <t xml:space="preserve">Cứ 5% hộ nghèo được tính </t>
  </si>
  <si>
    <t>Tổng số điểm</t>
  </si>
  <si>
    <t>Thu nội địa (96 điểm)</t>
  </si>
  <si>
    <t>Thu nội địa (Không kể thu đấu giá đất, S.xố) số giao năm 2015</t>
  </si>
  <si>
    <t>Tỷ đồng</t>
  </si>
  <si>
    <t>Tổng số điểm =
 Tổng số thu/5 tỷ đồng x 1,37 điểm</t>
  </si>
  <si>
    <t xml:space="preserve"> Số điểm</t>
  </si>
  <si>
    <t xml:space="preserve"> Điểm</t>
  </si>
  <si>
    <t xml:space="preserve"> Tiêu chí về diện tích</t>
  </si>
  <si>
    <t>Diện tích tự nhiên</t>
  </si>
  <si>
    <t>1000 ha</t>
  </si>
  <si>
    <t>Dưới 20 nghìn ha được 7 điểm</t>
  </si>
  <si>
    <t>Từ 20 nghìn ha đến dưới 50 nghìn ha, cứ 10.000 được cộng thêm 0,2 điểm</t>
  </si>
  <si>
    <t>Từ 50 nghìn ha đến dưới 100 nghìn ha, cứ 10.000 được cộng thêm 0,15 điểm</t>
  </si>
  <si>
    <t>Trên 100 nghìn ha trở lên, cứ 10000 được cộng thêm 0,06 điểm</t>
  </si>
  <si>
    <t xml:space="preserve"> Tiêu chí về đơn vị hành chính cấp huyện</t>
  </si>
  <si>
    <t xml:space="preserve"> Đơn vị hành chính cấp huyện</t>
  </si>
  <si>
    <t>Số đơn vị hành chính cấp huyện</t>
  </si>
  <si>
    <t>Số huyện Miền núi</t>
  </si>
  <si>
    <t>Số huyện Biên giới</t>
  </si>
  <si>
    <t>Các tiêu chí bổ sung</t>
  </si>
  <si>
    <t xml:space="preserve"> Xã Biên giới (42 điểm)</t>
  </si>
  <si>
    <t xml:space="preserve"> Số xã biên giới</t>
  </si>
  <si>
    <t xml:space="preserve"> Số điểm/1 xã</t>
  </si>
  <si>
    <t>Phát triển thành phố Điện Biên Phủ
 (TP  đạt đô thị loại 2 vào năm 2020)</t>
  </si>
  <si>
    <t>Thành Phố Điện Biên Phủ</t>
  </si>
  <si>
    <t xml:space="preserve"> Vốn đầu tư trong cân đối NSĐP
 (Kế hoạch năm 2016)</t>
  </si>
  <si>
    <t xml:space="preserve"> Trả nợ Ngân hàng PT(tín dụngNN)</t>
  </si>
  <si>
    <t>Tr.đồng</t>
  </si>
  <si>
    <t xml:space="preserve"> Quốc phòng an ninh</t>
  </si>
  <si>
    <t xml:space="preserve"> Khoa học công nghệ</t>
  </si>
  <si>
    <t xml:space="preserve"> Dân tộc cống</t>
  </si>
  <si>
    <t xml:space="preserve"> Dự án công cộng + các ngành tỉnh quản lý </t>
  </si>
  <si>
    <t xml:space="preserve">Dự phòng </t>
  </si>
  <si>
    <t>Tổng vốn (Từ mục 1 đến 7) năm 2016</t>
  </si>
  <si>
    <t xml:space="preserve">Tổng vốn (Từ mục 1 đến 7) giai đoạn 2016-2020 </t>
  </si>
  <si>
    <t xml:space="preserve"> Vốn CĐNSĐP các huyện năm 2016</t>
  </si>
  <si>
    <t>8.1</t>
  </si>
  <si>
    <t xml:space="preserve"> Điểm để phân bổ hàng năm</t>
  </si>
  <si>
    <t>Tỷ lệ điểm để phân bổ hàng năm</t>
  </si>
  <si>
    <t>8.2</t>
  </si>
  <si>
    <t xml:space="preserve">Kế hoạch năm 2016 </t>
  </si>
  <si>
    <t xml:space="preserve"> Dự kiến Kế hoạch năm 2017</t>
  </si>
  <si>
    <t>Dự kiến Kế hoạch năm 2018</t>
  </si>
  <si>
    <t>Dự kiến Kế hoạch năm 2019</t>
  </si>
  <si>
    <t>Dự kiến Kế hoạch năm 2020</t>
  </si>
  <si>
    <t>Tổng giai đoạn 2016-2020</t>
  </si>
  <si>
    <t xml:space="preserve"> Vốn đầu tư XDCBTT toàn tỉnh (100%) giai đoạn 2016-2020</t>
  </si>
  <si>
    <t>8.3</t>
  </si>
  <si>
    <t xml:space="preserve"> KH vốn năm 2015 (theo QĐ số 993/QĐ-UBND)</t>
  </si>
  <si>
    <t>8.4</t>
  </si>
  <si>
    <t xml:space="preserve"> Tỷ lệ vốn tăng so với KH năm 2015</t>
  </si>
  <si>
    <t xml:space="preserve">  Đường liên huyện Hua Ná - Pá Liếng (xã Ảng Cang, huyện Mường Ảng) đi Lọng Khẩu Cắm (xã Mường Phăng, huyện Điện Biên)</t>
  </si>
  <si>
    <t>Công trình thủy lợi Nậm Khẩu Hu xã Thanh Nưa</t>
  </si>
  <si>
    <t>1012/QĐ-UBND 30/10/2017</t>
  </si>
  <si>
    <t>Vốn phân bổ theo định mức</t>
  </si>
  <si>
    <t>775/QĐ-UBND ngày 31/8/2017</t>
  </si>
  <si>
    <t>KH 2017 đến 30/9 chưa giải ngân</t>
  </si>
  <si>
    <t>2017-2018</t>
  </si>
  <si>
    <t>Thực hiện 2017 đến 30/9</t>
  </si>
  <si>
    <t>TT dứt điểm</t>
  </si>
  <si>
    <t>2016-2019</t>
  </si>
  <si>
    <t>986/QĐ-UBND 27/10/2017</t>
  </si>
  <si>
    <t>2016-2017</t>
  </si>
  <si>
    <t>Địa điểm mở TK dự án</t>
  </si>
  <si>
    <t>Chủ đầu tư</t>
  </si>
  <si>
    <t>Mã số dự án đầu tư</t>
  </si>
  <si>
    <t>712/QĐ-UBND ngày 18/8/2017</t>
  </si>
  <si>
    <t>2017-2020</t>
  </si>
  <si>
    <t>1018/QĐ-UBND ngày 30/10/2017</t>
  </si>
  <si>
    <t>1186/QĐ-UBND 30/10/2015</t>
  </si>
  <si>
    <t>Vốn đã thanh toán từ khởi công đến KH năm 2017</t>
  </si>
  <si>
    <t>Nâng cấp mở rộng trụ sở Huyện Ủy Tủa Chùa</t>
  </si>
  <si>
    <t>983/QĐ-UBND 30/10/2012; 923/QĐ-UBND 22/7/2016</t>
  </si>
  <si>
    <t>911/QĐ-UBND 04/10/2017</t>
  </si>
  <si>
    <t>106/QĐ-UBND ngày 13/02/2017</t>
  </si>
  <si>
    <t>Trả nợ Kho bạc Nhà nước -Dự án Hạ tầng kỹ thuật khung khu trụ sở cơ quan, khu công cộng, khu thương mại dịch vụ dọc trục đường 60m</t>
  </si>
  <si>
    <t>Nâng cấp đường vào khu di tích Sở chỉ huy chiến dịch Điện Biên Phủ ở Mường Phăng</t>
  </si>
  <si>
    <t>1002/QĐ-UBND ngày 27/10/2017</t>
  </si>
  <si>
    <t>Trả phí, lãi vay</t>
  </si>
  <si>
    <t>959/QĐ-UBND
24/10/2016</t>
  </si>
  <si>
    <t xml:space="preserve"> Đường Chà Tở - Mường Tùng</t>
  </si>
  <si>
    <t>230/QĐ-UBND  27/2/2010;
394/QĐ-UBND
08/5/2017</t>
  </si>
  <si>
    <t>Trung tâm khuyến nông giống cây trồng vật nuôi tỉnh Điện Biên</t>
  </si>
  <si>
    <t>Xây dựng hệ thống kho và cải tạo sửa chữa nhà ăn, nhà bếp, các hạng mục phụ trợ Trường quân sự địa phương</t>
  </si>
  <si>
    <t>1102/QĐ-UBND ngày 30/10/2017</t>
  </si>
  <si>
    <t>UBND TPĐBP</t>
  </si>
  <si>
    <t>STNMT</t>
  </si>
  <si>
    <t>UBND huyện ĐB</t>
  </si>
  <si>
    <t>Ban QLDA NN&amp;PTNT</t>
  </si>
  <si>
    <t>Sở Y tế</t>
  </si>
  <si>
    <t>Cty TNHH Cấp nước ĐB</t>
  </si>
  <si>
    <t>Sở Công thương</t>
  </si>
  <si>
    <t>UBND huyện TG</t>
  </si>
  <si>
    <t>UBND huyện ĐBĐ</t>
  </si>
  <si>
    <t>UBND huyện M.Ảng</t>
  </si>
  <si>
    <t>UBND huyện M.Nhé</t>
  </si>
  <si>
    <t>UBND huyện M.Chà</t>
  </si>
  <si>
    <t>Ban QLDA GT</t>
  </si>
  <si>
    <t>UBND huyện T.Chùa</t>
  </si>
  <si>
    <t>UBND huyện N.Pồ</t>
  </si>
  <si>
    <t>UBND TX M.Lay</t>
  </si>
  <si>
    <t>Bộ CHBĐ Biên PHòng</t>
  </si>
  <si>
    <t>Công an tỉnh</t>
  </si>
  <si>
    <t>Bộ CHQS tỉnh</t>
  </si>
  <si>
    <t>Bộ CHBĐ Biên Phòng</t>
  </si>
  <si>
    <t>Ban QLDA CTGT</t>
  </si>
  <si>
    <t>VP UBND tỉnh</t>
  </si>
  <si>
    <t>Sở GTVT</t>
  </si>
  <si>
    <t>Trường CĐKT-KT</t>
  </si>
  <si>
    <t>Đài PT&amp;TH tỉnh</t>
  </si>
  <si>
    <t>Sở Nội vụ</t>
  </si>
  <si>
    <t>Sở TNMT</t>
  </si>
  <si>
    <t>Trường Chính trị</t>
  </si>
  <si>
    <t>Trường CĐSP</t>
  </si>
  <si>
    <t>Đảng ủy DC</t>
  </si>
  <si>
    <t>TT QHXD&amp;NN</t>
  </si>
  <si>
    <t>Ban QLDA các CT XD&amp;CN</t>
  </si>
  <si>
    <t>UBND tỉnh Điện Biên</t>
  </si>
  <si>
    <t>Trường phổ thông dân tộc nội trú huyện Mường Ảng, tỉnh Điện Biên</t>
  </si>
  <si>
    <t>496/QĐ-UBND ngày 29/4/2010</t>
  </si>
  <si>
    <t>2011-2012</t>
  </si>
  <si>
    <t>A'</t>
  </si>
  <si>
    <t xml:space="preserve">Chương trình đô thị miền núi phía Bắc - thành phố Điện Biên Phủ (DB01) năm 2016, 2017 </t>
  </si>
  <si>
    <t>Chương trình mở rộng qui mô vệ sinh và nước sạch nông thôn dựa trên kết quả</t>
  </si>
  <si>
    <t>2315/QĐ-UBND; 25/12/2009</t>
  </si>
  <si>
    <t>2009-2019</t>
  </si>
  <si>
    <t>M.Ảng</t>
  </si>
  <si>
    <t>Dự án vay từ nguồn Chính phủ vay về cho vay lại</t>
  </si>
  <si>
    <t>Lồng ghép vốn NSTW;</t>
  </si>
  <si>
    <t>Trường THCS và THPT Quyết Tiến  huyện Tủa Chùa</t>
  </si>
  <si>
    <t>951/QĐ-UBND 18/10/2017</t>
  </si>
  <si>
    <t>835/QĐ-UBND  10/9/2012</t>
  </si>
  <si>
    <t>Nhà Đa năng, Nhà BGH và các hạng mục phụ trợ trường THPT Mường Nhà</t>
  </si>
  <si>
    <t>Sở GD&amp;ĐT</t>
  </si>
  <si>
    <t>1001/QĐ-UBND 27/10/2017</t>
  </si>
  <si>
    <t>1014/QĐ-UBND 30/10/2017</t>
  </si>
  <si>
    <t>Nhà Đa năng và các hạng mục phụ trợ trường THPT Mường Ảng</t>
  </si>
  <si>
    <t>1350/QĐ-UBND
28/10/2016</t>
  </si>
  <si>
    <t>975/QĐ-UBND 26/10/2017</t>
  </si>
  <si>
    <t>974/QĐ-UBND 26/10/2017</t>
  </si>
  <si>
    <t>973/QĐ-UBND 26/10/2017</t>
  </si>
  <si>
    <t>848, ngày 19/9/2012; 1023/QĐ-UBND ngày 08/8/2016</t>
  </si>
  <si>
    <t>GĐ II: 2016-2018</t>
  </si>
  <si>
    <t>Hỗ trợ kinh phí đầu tư xây dựng các hạng mục hạ tầng kỹ thuật tại Trụ sở làm việc Công an tỉnh Điện Biên</t>
  </si>
  <si>
    <t>1064/QĐ-UBND 30/10/2017</t>
  </si>
  <si>
    <t>936a/QĐ-UBND 20/9/2011; 1099/QĐ-UBND ngày 29/10/2015</t>
  </si>
  <si>
    <t>LG vốn hỗ trợ có mục tiêu, xã hội hóa 40 tỷ đồng</t>
  </si>
  <si>
    <t>94/HĐND-KTNS ngày 18/5/2017</t>
  </si>
  <si>
    <t xml:space="preserve">LG vốn NSTW </t>
  </si>
  <si>
    <t>615/QĐ-UBND 11/7/2017</t>
  </si>
  <si>
    <t>Sửa chửa, mở rộng Trụ sở Sở Nội vụ tỉnh Điện Biên</t>
  </si>
  <si>
    <t>KH 2018 vốn NSTW là 1617 trđ</t>
  </si>
  <si>
    <t>Trả phí, lãi vay, vay</t>
  </si>
  <si>
    <t xml:space="preserve">2130/QĐ-UBND, 03/12/2009 203/QĐ-UBND ngày 21/3/2017
 </t>
  </si>
  <si>
    <t>Đến 2018</t>
  </si>
  <si>
    <t>439/QĐ-UBND 30/03/2016; 1066/QĐ-UBND ngày 30/10/2017</t>
  </si>
  <si>
    <t>CĐNSĐP tỉnh hỗ trợ 40 tỷ</t>
  </si>
  <si>
    <t>PKĐKKV Ba Chà huyện Nậm Pồ</t>
  </si>
  <si>
    <t>CT,SC</t>
  </si>
  <si>
    <t>17-19</t>
  </si>
  <si>
    <t>1319/QĐ-UBND 27/10/2016</t>
  </si>
  <si>
    <t>Kế hoạch trung hạn
 giai đoạn 2016-2020</t>
  </si>
  <si>
    <t>Vốn đã thanh toán từ khởi công đến KH năm 2018</t>
  </si>
  <si>
    <t>Kế hoạch trung hạn đã giao đến hết năm 2018</t>
  </si>
  <si>
    <t>Kế hoạch 2019</t>
  </si>
  <si>
    <t>Vốn WB</t>
  </si>
  <si>
    <t>Dự án xử lý chất thải rắn Bệnh viện đa khoa huyện Tuần Giáo do WB tài trợ</t>
  </si>
  <si>
    <t xml:space="preserve"> Dự án đầu tư trang thiết bị cho hệ thống quan trắc và phân tích môi trường tỉnh Điện Biên</t>
  </si>
  <si>
    <t>Trụ sở Ban QLDA các công trình Dân dụng và Công nghiệp tỉnh Điện Biên</t>
  </si>
  <si>
    <t>370 ngày 7/5/2012; 1607/QĐ-UBND ngày 30/10/2016</t>
  </si>
  <si>
    <t>Các dự án hoàn thành, bàn giao, đưa vào sử dụng đến ngày 31/12 năm 2018</t>
  </si>
  <si>
    <t>Các dự án chuyển tiếp hoàn thành sau năm 2019</t>
  </si>
  <si>
    <t>Các dự án khởi công mới năm 2019</t>
  </si>
  <si>
    <t>Các dự án dự kiến hoàn thành năm 2019</t>
  </si>
  <si>
    <t>Các dự dự kiến khởi công mới năm 2019</t>
  </si>
  <si>
    <t>Các dự dự kiến hoàn thành năm 2019</t>
  </si>
  <si>
    <t>Các dự án dự kiến hoàn thành sau năm 2019</t>
  </si>
  <si>
    <t>Các dự án dự kiến khởi công mới năm 2019</t>
  </si>
  <si>
    <t>Các dự dự kiến hoàn thành sau năm 2019</t>
  </si>
  <si>
    <t>402/QĐ-UBND ngày 10/5/2018</t>
  </si>
  <si>
    <t>2011-2020</t>
  </si>
  <si>
    <t>301/QĐ-UBND ngày 06/4/2011; 545/QDD-UBND ngày 05/7/2018</t>
  </si>
  <si>
    <t>Điều chỉnh dự án</t>
  </si>
  <si>
    <t>KCM 2019</t>
  </si>
  <si>
    <t>Dự án hỗ trợ kỹ thuật và dự án cấp điện nông thôn giai đoạn 215-2020 sử dụng vốn ODA do Ngân hàng phát triển Châu Á (ADB) tài trợ và Dự án hỗ trợ cho tăng trưởng toàn diện khu vực Tiểu vùng Mê Công mở rộng</t>
  </si>
  <si>
    <t>Dự án khởi công mới</t>
  </si>
  <si>
    <t xml:space="preserve"> Phụ thuộc mặt bằng trung tâm huyện</t>
  </si>
  <si>
    <t>1122/QĐ-UBND ngày 30/10/2017</t>
  </si>
  <si>
    <t>San nền giao thông, thoát nước bản Púng Bon, xã Pa Thơm</t>
  </si>
  <si>
    <t>Công trình nước sinh hoạt bản Púng Bon, xã Pa Thơm, huyện Điện Biên</t>
  </si>
  <si>
    <t>San nền, giao thông, thoát nước điểm dân cư Huổi Moi và Nước sinh hoạt bản Huổi Moi</t>
  </si>
  <si>
    <t>San nền, giao thông, thoát nước điểm dân cư Lả Chà, xã Pa Tần, huyện Nậm Pồ</t>
  </si>
  <si>
    <t>Công trình thủy lợi bản Lả Chà, xã Pa Tần, huyện Nậm Pồ</t>
  </si>
  <si>
    <t>Công trình nước sinh hoạt  bản  Lả Chà, xã Pa Tần, huyện Nậm Pồ</t>
  </si>
  <si>
    <t>6</t>
  </si>
  <si>
    <t>Công trình nước sinh hoạt bản Nậm Kè, xã Nậm Kè, huyện Mường Nhé</t>
  </si>
  <si>
    <t>Chương trình đô thị miền núi phía Bắc - thành phố Điện Biên Phủ (DB01) (2%/năm)</t>
  </si>
  <si>
    <t>Vay lại từ nguồn Chính phủ vay ngoài nước</t>
  </si>
  <si>
    <t xml:space="preserve"> Trụ sở làm việc Ban CHQS xã - Công an xã (3 xã) huyện Mường Nhé (mỗi xã 1.300 triệu đồng)</t>
  </si>
  <si>
    <t xml:space="preserve"> Trụ sở làm việc Ban CHQS xã - Công an xã (3 xã) huyện Nậm Pồ (mỗi xã 1.300 triệu đồng)</t>
  </si>
  <si>
    <t>Đường Na Phay Huổi Chanh - Bản Gia phú A, B xã Mường NHà (đường ra biên giới)</t>
  </si>
  <si>
    <t>1148/QĐ-UBND ngày 30/10/2015</t>
  </si>
  <si>
    <t>Nhà ở cán bộ chiến sỹ Trạm kiểm soát Nà Bủng - Đồn biên phòng Nà Bủng, xã Nà Bủng huyện Nậm Pồ</t>
  </si>
  <si>
    <t>huyện Nậm Pồ</t>
  </si>
  <si>
    <t>214/QĐ-UBND ngày 19/3/2018</t>
  </si>
  <si>
    <t>59/QĐ-UBND 25/01/2018</t>
  </si>
  <si>
    <t>Dự án Phát triển trẻ thơ toàn diện tỉnh Điện Biên giai đoạn 2017-2021</t>
  </si>
  <si>
    <t>(5)</t>
  </si>
  <si>
    <t xml:space="preserve"> Dự án chuẩn bị đầu tư</t>
  </si>
  <si>
    <t>KH 2018 không được bố trí vốn, theo NQ 70/NQ-CP</t>
  </si>
  <si>
    <t>(lồng ghép vốn NSTW)</t>
  </si>
  <si>
    <t>855/QĐ-UBND ngày 09/10/2018</t>
  </si>
  <si>
    <t>2019-2020</t>
  </si>
  <si>
    <t>Sở TN&amp;MT</t>
  </si>
  <si>
    <t>772/QĐ-UBND ngày 17/9/2018</t>
  </si>
  <si>
    <t>08 PH</t>
  </si>
  <si>
    <t>Hỗ trợ xây dựng nhà máy xử lý rác thải tại bãi Púng Min, xã Pom Lót, huyện Điện Biên, tỉnh Điện Biên (Hỗ trợ đền bù GPMB)</t>
  </si>
  <si>
    <t>1015/QĐ-UBND ngày 30/10/2017</t>
  </si>
  <si>
    <t>699/QĐ-UBND ngày 21/8/2018</t>
  </si>
  <si>
    <t>898/QĐ-UBND ngày 23/10/2018</t>
  </si>
  <si>
    <t>CBĐT</t>
  </si>
  <si>
    <t>1328/QĐ-UBND ngày 29/12/2017</t>
  </si>
  <si>
    <t>UBND huyện M. Chà</t>
  </si>
  <si>
    <t>BCHBP</t>
  </si>
  <si>
    <t>Trụ sở làm việc Ban CHQS xã - Công an xã (3 xã Mường Phăng, Mường Pồn, Mường Nhà) huyện Điện Biên (mỗi xã 1.300 triệu đồng)</t>
  </si>
  <si>
    <t>622/QĐ-UBND ngày 14/7/2017</t>
  </si>
  <si>
    <t>702/QĐ-UBND ngày 21/8/2018</t>
  </si>
  <si>
    <t>,</t>
  </si>
  <si>
    <t>Trường Mầm non Na Sang</t>
  </si>
  <si>
    <t>661/QĐ-UBND ngày 09/8/2018</t>
  </si>
  <si>
    <t>1280/QĐ-UBND ngày 25/12/2017</t>
  </si>
  <si>
    <t>1282/QĐ-UBND ngày 25/12/2017</t>
  </si>
  <si>
    <t>1281/QĐ-UBND ngày 25/12/2017</t>
  </si>
  <si>
    <t>1013/QĐ-UBND ngày 30/10/2018</t>
  </si>
  <si>
    <t>963/QĐ-UBND ngày 29/10/2018</t>
  </si>
  <si>
    <t>Dự án chưa được phê duyệt</t>
  </si>
  <si>
    <t>696/QĐ-UBND ngày 21/8/2018</t>
  </si>
  <si>
    <t>Ban QLDA CN&amp;XD</t>
  </si>
  <si>
    <t>Trụ sở làm việc Ban quản lý dự án các công trình Nông nghiệp và Phát triển nông thôn Điện Biên</t>
  </si>
  <si>
    <t>Cơ sở hạ tầng các khu bảo tồn tỉnh Điện Biên (Giai đoạn I)</t>
  </si>
  <si>
    <t>1003/QĐ-UBND ngày 03/8/2016; Số 37/QĐ-UBND ngày 10/01/2018</t>
  </si>
  <si>
    <t>Xây dựng hạ tầng kỹ thuật chính quyền điện tử tỉnh Điện Biên (Giai đoạn I)</t>
  </si>
  <si>
    <t>2018-2021</t>
  </si>
  <si>
    <t xml:space="preserve">1405/QĐ-UBND ngày 31/10/2016; 703/QĐ-UBND ngày 22/8/2018 </t>
  </si>
  <si>
    <t>567/QĐ-UBND ngày 17/7/2018</t>
  </si>
  <si>
    <t>KH 2018 đến 30/9 chưa giải ngân</t>
  </si>
  <si>
    <t>2020-2024</t>
  </si>
  <si>
    <t>1020/QĐ-UBND ngày 10/10/2011</t>
  </si>
  <si>
    <t>xã Nà Hỳ</t>
  </si>
  <si>
    <t>Hoàn ứng theo QĐ số 894/QĐ-UBND ngày 22/10/2018</t>
  </si>
  <si>
    <t>DA Cải tạo các tuyến ống mạng cấp II + III tại Thành phố Điện Biên Phủ</t>
  </si>
  <si>
    <t>1000/QĐ-UBND ngày 30/10/2018</t>
  </si>
  <si>
    <t>Công ty CP cấp nước ĐB</t>
  </si>
  <si>
    <t>Sử dụng vốn SN GD 2,55 tỷ đồng</t>
  </si>
  <si>
    <t>Chênh lệch do số Bội thu Trung ương giao là 59.600 tr.đồng số địa phương xác định lại là 59.644 triệu đồng</t>
  </si>
  <si>
    <t>984/QĐ-UBND 30/10/2017</t>
  </si>
  <si>
    <t>983/QĐ-UBND 30/10/2017</t>
  </si>
  <si>
    <t>992/QĐ-UBND 30/10/2017</t>
  </si>
  <si>
    <t>985/QĐ-UBND 30/10/2017</t>
  </si>
  <si>
    <t>Các dự án chuyển tiếp hoàn thành năm 2019</t>
  </si>
  <si>
    <t>2188/QĐ-TTg 08/12/2014; 1080/QĐ-BKHĐT ngày 07/8/2017</t>
  </si>
  <si>
    <t>các huyện</t>
  </si>
  <si>
    <t>Bổ sung vốn NSĐP chi phí QLDA, dự kiến kéo dài đến tháng 6/2019</t>
  </si>
  <si>
    <t>Hỗ trợ đền bù GPMB</t>
  </si>
  <si>
    <t>1016/QĐ-UBND 31/10/2018</t>
  </si>
  <si>
    <t>Xây dựng bến cảng Đồi Cao, Mường Lay</t>
  </si>
  <si>
    <t>Nghĩa trang nhân dân thị xã Mường lay</t>
  </si>
  <si>
    <t>Dự án đầu tư cơ sở hạ tầng, hỗ trợ di dân thực hiện định canh, định cư cho đồng bào dân tộc thiểu số Bản Hô Nậm Cản, xã Lay Nưa</t>
  </si>
  <si>
    <t>San nền giao thông thoát nước bản Nậm Kè, xã Nậm Kè, huyện Mường Nhé</t>
  </si>
  <si>
    <t>Ban Dân tộc</t>
  </si>
  <si>
    <t>Nhà sinh hoạt cộng đồng bản Nậm Kè, xã Nậm Kè, huyện Mường Nhé</t>
  </si>
  <si>
    <t xml:space="preserve">Công trình Đường giao thông (Giai đoạn II) vào bản Nậm Kè - xã Nậm Kè </t>
  </si>
  <si>
    <t>Nhà sinh hoạt cộng đồng bản Lả Chà, xã Pa Tần, huyện Nậm Pồ</t>
  </si>
  <si>
    <t>Nhà sinh hoạt cộng đồng bản Púng Bon, xã Pa Thơm, huyện Điện Biên</t>
  </si>
  <si>
    <t>Công trình nhà sinh hoạt cộng đồng, bản Huổi Moi, huyện Điện Biên</t>
  </si>
  <si>
    <t>Đường nội thị khu B thị trấn</t>
  </si>
  <si>
    <t>Đường giao thông bản Lùng Tạo - bản Huổi Mí 2, xã Huổi Mí</t>
  </si>
  <si>
    <t>Nâng cấp, sửa chữa đường giao thông Ma Thì Hồ - Nậm Chua, huyện Mường Chà</t>
  </si>
  <si>
    <t>Dự án đã Đ/c QM, bố trí vốn thanh toán điểm dừng kỹ thuật.</t>
  </si>
  <si>
    <t>47 phòng học + Nhà Hiệu bộ + phụ trợ</t>
  </si>
  <si>
    <t>GĐ 1:
15-19</t>
  </si>
  <si>
    <t>179 m2</t>
  </si>
  <si>
    <t>2019 bố trí đủ theo KH trung hạn đang trình điều chỉnh</t>
  </si>
  <si>
    <t>5 ph; hiệu bộ, thư viện</t>
  </si>
  <si>
    <t>Bố trí hết KH trung hạn nguồn vốn SXKT</t>
  </si>
  <si>
    <t>227,5m2</t>
  </si>
  <si>
    <t>18-20</t>
  </si>
  <si>
    <t>244m2</t>
  </si>
  <si>
    <t>3ph+hiệu bộ; 18pNT</t>
  </si>
  <si>
    <t>6ph; HMPT</t>
  </si>
  <si>
    <t>19-20</t>
  </si>
  <si>
    <t>982/QĐ-UBND 30/10/2018</t>
  </si>
  <si>
    <t>8 PH; hiệu bộ; 4 PGV; phụ trợ</t>
  </si>
  <si>
    <t>993/QĐ-UBND 30/10/2018</t>
  </si>
  <si>
    <t>2 PH; hiệu bộ</t>
  </si>
  <si>
    <t>12 PH; hiệu bộ</t>
  </si>
  <si>
    <t>4 PH; hiệu bộ</t>
  </si>
  <si>
    <t>546m2; phụ trợ</t>
  </si>
  <si>
    <t>866/QĐ-UBND 11/10/2018</t>
  </si>
  <si>
    <t>Sở GĐ&amp;ĐT</t>
  </si>
  <si>
    <t>10 PH</t>
  </si>
  <si>
    <t>8 PH</t>
  </si>
  <si>
    <t>30/9 chưa giải ngân KH 2018</t>
  </si>
  <si>
    <t>Bổ sung cơ sở vật chất trường THPT Thanh Nưa huyện Điện Biên</t>
  </si>
  <si>
    <t>905/QĐ-UBND 23/10/2018</t>
  </si>
  <si>
    <t>Các dự án hoàn thành, bàn giao, đưa vào sử dụng đến ngày 31/12/2018</t>
  </si>
  <si>
    <t>Đ/c nguồn vốn</t>
  </si>
  <si>
    <t>KCM 2019, LG NSTW</t>
  </si>
  <si>
    <t>Hoàn trả ứng trước từ nguồn ngân sách địa phương năm 2018 chưa sử dụng dự án Hạ tầng kỹ thuật khung khu trụ sở cơ quan, khu công cộng, khu thương mại dịch vụ dọc trục đường 60m</t>
  </si>
  <si>
    <t>Hỗ trợ xây dựng nhà máy xử lý rác thải tại bãi Púng Min, xã Pom Lót, huyện Điện Biên, tỉnh Điện Biên</t>
  </si>
  <si>
    <t>Hỗ trợ ngoài hàng rào</t>
  </si>
  <si>
    <t>Bổ sung cơ sở vật chất trường THPT huyện Điện Biên</t>
  </si>
  <si>
    <t>1010/QĐ-UBND ngày 30/10/2018</t>
  </si>
  <si>
    <t xml:space="preserve">Xây dựng trụ sở xã Mường Lói </t>
  </si>
  <si>
    <t>Cải tạo và mở rộng trụ sở Thành ủy - HĐND, UBND thành phố</t>
  </si>
  <si>
    <t>TT Dứt điểm</t>
  </si>
  <si>
    <t>Năm 2017 Bổ sung 6,132 tỷ đồng từ nguồn tăng thu ngân sách tỉnh năm 2016; năm 2018: 2 tỷ từ nguồn tăng thu SXKT</t>
  </si>
  <si>
    <t xml:space="preserve">XD mới Khoa tiền lâm sàng và sửa chữa, nâng cấp một số khoa, phòng và các hạng mục phụ trợ Trường CĐ Y tế Điện Biên. </t>
  </si>
  <si>
    <t xml:space="preserve">Sửa chữa, nâng cấp một số hạng mục Công trình Sân vận động tỉnh </t>
  </si>
  <si>
    <t>997/QĐ-UBND ngày 30/10/2018</t>
  </si>
  <si>
    <t>998/QĐ-UBND ngày 30/10/2018</t>
  </si>
  <si>
    <t>979/QĐ-UBND 26/10/2017</t>
  </si>
  <si>
    <t>Ban QLDA huyện T.Chùa</t>
  </si>
  <si>
    <t>VP Tỉnh ủy</t>
  </si>
  <si>
    <t>Ban QLDA các CT NN&amp;PTNT</t>
  </si>
  <si>
    <t>Sở TTTT</t>
  </si>
  <si>
    <t>978/QĐ-UBND ngày 30/10/2018</t>
  </si>
  <si>
    <t>KẾ HOẠCH VỐN ĐẦU TƯ NGUỒN NSNN NĂM 2019</t>
  </si>
  <si>
    <t>Biểu số 1 - CĐNSĐP 2019</t>
  </si>
  <si>
    <t>(Kèm theo Nghị quyết số        /NQ-HĐND ngày     tháng 12 năm 2018 của HĐND tỉnh Điện Biên)</t>
  </si>
  <si>
    <t>Dự án Giảm nghèo các tỉnh miền núi phía bắc giai đoạn 2, tỉnh Điện Biên</t>
  </si>
  <si>
    <t>Thủy lợi Nậm Pố xã Nà Hỳ, huyện Nậm Pồ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</si>
</sst>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quot;₫&quot;_-;\-* #,##0.00\ &quot;₫&quot;_-;_-* &quot;-&quot;??\ &quot;₫&quot;_-;_-@_-"/>
    <numFmt numFmtId="166" formatCode="_-* #,##0.00\ _₫_-;\-* #,##0.00\ _₫_-;_-* &quot;-&quot;??\ _₫_-;_-@_-"/>
    <numFmt numFmtId="167" formatCode="&quot;£&quot;#,##0;[Red]\-&quot;£&quot;#,##0"/>
    <numFmt numFmtId="168" formatCode="&quot;£&quot;#,##0.00;\-&quot;£&quot;#,##0.00"/>
    <numFmt numFmtId="169" formatCode="_-&quot;£&quot;* #,##0_-;\-&quot;£&quot;* #,##0_-;_-&quot;£&quot;* &quot;-&quot;_-;_-@_-"/>
    <numFmt numFmtId="170" formatCode="_-* #,##0_-;\-* #,##0_-;_-* &quot;-&quot;_-;_-@_-"/>
    <numFmt numFmtId="171" formatCode="_-* #,##0.00_-;\-* #,##0.00_-;_-* &quot;-&quot;??_-;_-@_-"/>
    <numFmt numFmtId="172" formatCode="_-* #,##0.00\ _V_N_D_-;\-* #,##0.00\ _V_N_D_-;_-* &quot;-&quot;??\ _V_N_D_-;_-@_-"/>
    <numFmt numFmtId="173" formatCode="0_);\(0\)"/>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 #,##0.00_)\ _$_ ;_ * \(#,##0.00\)\ _$_ ;_ * &quot;-&quot;??_)\ _$_ ;_ @_ "/>
    <numFmt numFmtId="193" formatCode="_ * #,##0.00_)_$_ ;_ * \(#,##0.00\)_$_ ;_ * &quot;-&quot;??_)_$_ ;_ @_ "/>
    <numFmt numFmtId="194" formatCode="_-* #,##0.00\ _ñ_-;\-* #,##0.00\ _ñ_-;_-* &quot;-&quot;??\ _ñ_-;_-@_-"/>
    <numFmt numFmtId="195" formatCode="_-* #,##0.00\ _ñ_-;_-* #,##0.00\ _ñ\-;_-* &quot;-&quot;??\ _ñ_-;_-@_-"/>
    <numFmt numFmtId="196" formatCode="_(&quot;$&quot;\ * #,##0_);_(&quot;$&quot;\ * \(#,##0\);_(&quot;$&quot;\ * &quot;-&quot;_);_(@_)"/>
    <numFmt numFmtId="197" formatCode="_-* #,##0.00000000_-;\-* #,##0.00000000_-;_-* &quot;-&quot;??_-;_-@_-"/>
    <numFmt numFmtId="198" formatCode="_(&quot;€&quot;\ * #,##0_);_(&quot;€&quot;\ * \(#,##0\);_(&quot;€&quot;\ * &quot;-&quot;_);_(@_)"/>
    <numFmt numFmtId="199" formatCode="_-* #,##0\ &quot;ñ&quot;_-;\-* #,##0\ &quot;ñ&quot;_-;_-* &quot;-&quot;\ &quot;ñ&quot;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00;[Red]&quot;\&quot;\-#,##0.00"/>
    <numFmt numFmtId="210" formatCode="&quot;\&quot;#,##0;[Red]&quot;\&quot;\-#,##0"/>
    <numFmt numFmtId="211" formatCode="_ * #,##0_)\ &quot;F&quot;_ ;_ * \(#,##0\)\ &quot;F&quot;_ ;_ * &quot;-&quot;_)\ &quot;F&quot;_ ;_ @_ "/>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0.00\ \ "/>
    <numFmt numFmtId="316" formatCode="0.00000000000E+00;\?"/>
    <numFmt numFmtId="317" formatCode="_-* ###,0&quot;.&quot;00\ _F_B_-;\-* ###,0&quot;.&quot;00\ _F_B_-;_-* &quot;-&quot;??\ _F_B_-;_-@_-"/>
    <numFmt numFmtId="318" formatCode="_ * #,##0_ ;_ * \-#,##0_ ;_ * &quot;-&quot;??_ ;_ @_ "/>
    <numFmt numFmtId="319" formatCode="0.00000"/>
    <numFmt numFmtId="320" formatCode="_(* #.##0.00_);_(* \(#.##0.00\);_(* &quot;-&quot;??_);_(@_)"/>
    <numFmt numFmtId="321" formatCode="#,##0.00\ \ \ \ "/>
    <numFmt numFmtId="322" formatCode="#,##0\ &quot;F&quot;;[Red]\-#,##0\ &quot;F&quot;"/>
    <numFmt numFmtId="323" formatCode="_ * #.##._ ;_ * \-#.##._ ;_ * &quot;-&quot;??_ ;_ @_ⴆ"/>
    <numFmt numFmtId="324" formatCode="&quot;\&quot;#,##0.00;[Red]&quot;\&quot;&quot;\&quot;&quot;\&quot;&quot;\&quot;&quot;\&quot;&quot;\&quot;&quot;\&quot;&quot;\&quot;&quot;\&quot;&quot;\&quot;&quot;\&quot;&quot;\&quot;&quot;\&quot;&quot;\&quot;\-#,##0.00"/>
    <numFmt numFmtId="325" formatCode="_ &quot;\&quot;* #,##0_ ;_ &quot;\&quot;* &quot;\&quot;&quot;\&quot;&quot;\&quot;&quot;\&quot;&quot;\&quot;&quot;\&quot;&quot;\&quot;&quot;\&quot;&quot;\&quot;&quot;\&quot;&quot;\&quot;&quot;\&quot;&quot;\&quot;\-#,##0_ ;_ &quot;\&quot;* &quot;-&quot;_ ;_ @_ "/>
    <numFmt numFmtId="326" formatCode="_-* ###,0&quot;.&quot;00_-;\-* ###,0&quot;.&quot;00_-;_-* &quot;-&quot;??_-;_-@_-"/>
    <numFmt numFmtId="327" formatCode="_-* #,##0\ _F_-;\-* #,##0\ _F_-;_-* &quot;-&quot;??\ _F_-;_-@_-"/>
    <numFmt numFmtId="328" formatCode="_-&quot;$&quot;* ###,0&quot;.&quot;00_-;\-&quot;$&quot;* ###,0&quot;.&quot;00_-;_-&quot;$&quot;* &quot;-&quot;??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0.0"/>
    <numFmt numFmtId="336" formatCode="#,##0.0"/>
    <numFmt numFmtId="337" formatCode="#,##0.000"/>
    <numFmt numFmtId="338" formatCode="0.00_)"/>
  </numFmts>
  <fonts count="318">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amily val="2"/>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1"/>
      <name val="Times New Roman"/>
      <family val="1"/>
      <charset val="163"/>
    </font>
    <font>
      <sz val="11"/>
      <name val="Times New Roman"/>
      <family val="1"/>
      <charset val="163"/>
    </font>
    <font>
      <b/>
      <sz val="11"/>
      <name val=".VnArial Narrow"/>
      <family val="2"/>
    </font>
    <font>
      <sz val="11"/>
      <name val=".VnArial Narrow"/>
      <family val="2"/>
    </font>
    <font>
      <b/>
      <i/>
      <sz val="11"/>
      <name val="Times New Roman"/>
      <family val="1"/>
    </font>
    <font>
      <i/>
      <sz val="11"/>
      <name val="Times New Roman"/>
      <family val="1"/>
      <charset val="163"/>
    </font>
    <font>
      <b/>
      <sz val="11"/>
      <name val="Times New Roman"/>
      <family val="1"/>
      <charset val="163"/>
    </font>
    <font>
      <i/>
      <sz val="11"/>
      <name val="Times New Roman"/>
      <family val="1"/>
    </font>
    <font>
      <b/>
      <i/>
      <sz val="12"/>
      <name val="Times New Roman"/>
      <family val="1"/>
    </font>
    <font>
      <sz val="12"/>
      <name val="Times New Roman"/>
      <family val="1"/>
      <charset val="163"/>
    </font>
    <font>
      <i/>
      <sz val="14"/>
      <name val="Times New Roman"/>
      <family val="1"/>
      <charset val="163"/>
    </font>
    <font>
      <sz val="10"/>
      <name val="Arial"/>
      <family val="2"/>
      <charset val="163"/>
    </font>
    <font>
      <u/>
      <sz val="12"/>
      <name val="Times New Roman"/>
      <family val="1"/>
    </font>
    <font>
      <b/>
      <sz val="12"/>
      <color indexed="30"/>
      <name val="Times New Roman"/>
      <family val="1"/>
      <charset val="163"/>
    </font>
    <font>
      <b/>
      <i/>
      <sz val="12"/>
      <color indexed="30"/>
      <name val="Times New Roman"/>
      <family val="1"/>
      <charset val="163"/>
    </font>
    <font>
      <sz val="12"/>
      <color indexed="30"/>
      <name val="Times New Roman"/>
      <family val="1"/>
    </font>
    <font>
      <b/>
      <i/>
      <sz val="12"/>
      <color indexed="30"/>
      <name val="Times New Roman"/>
      <family val="1"/>
    </font>
    <font>
      <b/>
      <i/>
      <sz val="12"/>
      <color indexed="10"/>
      <name val="Times New Roman"/>
      <family val="1"/>
    </font>
    <font>
      <i/>
      <sz val="12"/>
      <color indexed="30"/>
      <name val="Times New Roman"/>
      <family val="1"/>
    </font>
    <font>
      <sz val="12"/>
      <color indexed="30"/>
      <name val="Times New Roman"/>
      <family val="1"/>
      <charset val="163"/>
    </font>
    <font>
      <b/>
      <sz val="12"/>
      <color indexed="30"/>
      <name val="Times New Roman"/>
      <family val="1"/>
    </font>
    <font>
      <i/>
      <sz val="12"/>
      <color indexed="10"/>
      <name val="Times New Roman"/>
      <family val="1"/>
    </font>
    <font>
      <b/>
      <u/>
      <sz val="12"/>
      <name val="Times New Roman"/>
      <family val="1"/>
    </font>
    <font>
      <b/>
      <sz val="12"/>
      <name val="Times New Roman"/>
      <family val="1"/>
      <charset val="163"/>
    </font>
    <font>
      <sz val="11"/>
      <color theme="1"/>
      <name val="Arial"/>
      <family val="2"/>
      <charset val="163"/>
    </font>
    <font>
      <sz val="10"/>
      <name val="Arial"/>
      <family val="2"/>
      <charset val="163"/>
    </font>
    <font>
      <sz val="11"/>
      <color indexed="8"/>
      <name val="Arial"/>
      <family val="2"/>
      <charset val="163"/>
    </font>
    <font>
      <sz val="10"/>
      <name val="VNbook-Antiqua"/>
      <family val="2"/>
    </font>
    <font>
      <sz val="8"/>
      <color indexed="12"/>
      <name val="Helv"/>
    </font>
    <font>
      <sz val="11"/>
      <color indexed="14"/>
      <name val="Calibri"/>
      <family val="2"/>
      <charset val="163"/>
    </font>
    <font>
      <sz val="12"/>
      <color indexed="8"/>
      <name val="Times New Roman"/>
      <family val="2"/>
      <charset val="163"/>
    </font>
    <font>
      <sz val="11"/>
      <color rgb="FF006100"/>
      <name val="Calibri"/>
      <family val="2"/>
      <charset val="163"/>
    </font>
    <font>
      <sz val="11"/>
      <color rgb="FF9C6500"/>
      <name val="Calibri"/>
      <family val="2"/>
      <charset val="163"/>
    </font>
    <font>
      <sz val="11"/>
      <color rgb="FF000000"/>
      <name val="Calibri"/>
      <family val="2"/>
    </font>
    <font>
      <b/>
      <sz val="9"/>
      <color indexed="81"/>
      <name val="Tahoma"/>
      <family val="2"/>
      <charset val="163"/>
    </font>
    <font>
      <sz val="9"/>
      <color indexed="81"/>
      <name val="Tahoma"/>
      <family val="2"/>
      <charset val="163"/>
    </font>
    <font>
      <sz val="11"/>
      <name val=".VnArial Narrow"/>
      <family val="2"/>
      <charset val="163"/>
    </font>
    <font>
      <sz val="12"/>
      <name val="Cambria"/>
      <family val="1"/>
      <scheme val="major"/>
    </font>
    <font>
      <sz val="10"/>
      <name val="Cambria"/>
      <family val="1"/>
      <charset val="163"/>
      <scheme val="major"/>
    </font>
    <font>
      <sz val="10"/>
      <name val="Cambria"/>
      <family val="1"/>
      <scheme val="major"/>
    </font>
    <font>
      <b/>
      <i/>
      <sz val="12"/>
      <name val="Times New Roman"/>
      <family val="1"/>
      <charset val="163"/>
    </font>
    <font>
      <b/>
      <i/>
      <sz val="11"/>
      <name val=".VnArial Narrow"/>
      <family val="2"/>
    </font>
    <font>
      <sz val="9"/>
      <name val="Times New Roman"/>
      <family val="1"/>
    </font>
    <font>
      <sz val="11"/>
      <name val="Cambria"/>
      <family val="1"/>
      <scheme val="major"/>
    </font>
    <font>
      <sz val="14"/>
      <name val="Times New Roman"/>
      <family val="1"/>
      <charset val="163"/>
    </font>
  </fonts>
  <fills count="5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C6EFCE"/>
      </patternFill>
    </fill>
    <fill>
      <patternFill patternType="solid">
        <fgColor rgb="FFFFC7CE"/>
      </patternFill>
    </fill>
    <fill>
      <patternFill patternType="solid">
        <fgColor rgb="FFFFEB9C"/>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style="thin">
        <color indexed="64"/>
      </right>
      <top/>
      <bottom/>
      <diagonal/>
    </border>
  </borders>
  <cellStyleXfs count="5033">
    <xf numFmtId="0" fontId="0" fillId="0" borderId="0"/>
    <xf numFmtId="0" fontId="4" fillId="0" borderId="0"/>
    <xf numFmtId="0" fontId="4" fillId="0" borderId="0"/>
    <xf numFmtId="0" fontId="4" fillId="0" borderId="0"/>
    <xf numFmtId="0" fontId="42" fillId="0" borderId="0"/>
    <xf numFmtId="172"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9" fillId="0" borderId="0" applyNumberFormat="0" applyFill="0" applyBorder="0" applyProtection="0">
      <alignment vertical="top"/>
    </xf>
    <xf numFmtId="0" fontId="48" fillId="0" borderId="0"/>
    <xf numFmtId="0" fontId="42" fillId="0" borderId="0"/>
    <xf numFmtId="9" fontId="4" fillId="0" borderId="0" applyFont="0" applyFill="0" applyBorder="0" applyAlignment="0" applyProtection="0"/>
    <xf numFmtId="0" fontId="3" fillId="0" borderId="0"/>
    <xf numFmtId="0" fontId="6" fillId="0" borderId="0"/>
    <xf numFmtId="0" fontId="6" fillId="0" borderId="0"/>
    <xf numFmtId="174" fontId="66"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0" fontId="67" fillId="0" borderId="0"/>
    <xf numFmtId="0" fontId="67" fillId="0" borderId="0"/>
    <xf numFmtId="3" fontId="68" fillId="0" borderId="2"/>
    <xf numFmtId="3" fontId="68" fillId="0" borderId="2"/>
    <xf numFmtId="175" fontId="69" fillId="0" borderId="17" applyFont="0" applyBorder="0"/>
    <xf numFmtId="175" fontId="70" fillId="0" borderId="0" applyProtection="0"/>
    <xf numFmtId="175" fontId="71" fillId="0" borderId="17" applyFont="0" applyBorder="0"/>
    <xf numFmtId="0" fontId="72" fillId="0" borderId="0"/>
    <xf numFmtId="176" fontId="73" fillId="0" borderId="0" applyFont="0" applyFill="0" applyBorder="0" applyAlignment="0" applyProtection="0"/>
    <xf numFmtId="0" fontId="74" fillId="0" borderId="0" applyFont="0" applyFill="0" applyBorder="0" applyAlignment="0" applyProtection="0"/>
    <xf numFmtId="177" fontId="4" fillId="0" borderId="0" applyFont="0" applyFill="0" applyBorder="0" applyAlignment="0" applyProtection="0"/>
    <xf numFmtId="178"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6" fillId="0" borderId="0" applyFont="0" applyFill="0" applyBorder="0" applyAlignment="0" applyProtection="0"/>
    <xf numFmtId="0" fontId="77" fillId="0" borderId="18"/>
    <xf numFmtId="180" fontId="72" fillId="0" borderId="0" applyFont="0" applyFill="0" applyBorder="0" applyAlignment="0" applyProtection="0"/>
    <xf numFmtId="170" fontId="78" fillId="0" borderId="0" applyFont="0" applyFill="0" applyBorder="0" applyAlignment="0" applyProtection="0"/>
    <xf numFmtId="171" fontId="78" fillId="0" borderId="0" applyFont="0" applyFill="0" applyBorder="0" applyAlignment="0" applyProtection="0"/>
    <xf numFmtId="181" fontId="79" fillId="0" borderId="0" applyFont="0" applyFill="0" applyBorder="0" applyAlignment="0" applyProtection="0"/>
    <xf numFmtId="0" fontId="8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Protection="0"/>
    <xf numFmtId="0" fontId="81" fillId="0" borderId="0"/>
    <xf numFmtId="0" fontId="4" fillId="0" borderId="0" applyProtection="0"/>
    <xf numFmtId="0" fontId="8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Protection="0"/>
    <xf numFmtId="0" fontId="83" fillId="0" borderId="0" applyNumberFormat="0" applyFill="0" applyBorder="0" applyProtection="0">
      <alignment vertical="center"/>
    </xf>
    <xf numFmtId="170" fontId="48" fillId="0" borderId="0" applyFont="0" applyFill="0" applyBorder="0" applyAlignment="0" applyProtection="0"/>
    <xf numFmtId="182" fontId="73" fillId="0" borderId="0" applyFont="0" applyFill="0" applyBorder="0" applyAlignment="0" applyProtection="0"/>
    <xf numFmtId="183" fontId="66"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4" fontId="48"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42" fontId="73" fillId="0" borderId="0" applyFont="0" applyFill="0" applyBorder="0" applyAlignment="0" applyProtection="0"/>
    <xf numFmtId="182" fontId="73" fillId="0" borderId="0" applyFont="0" applyFill="0" applyBorder="0" applyAlignment="0" applyProtection="0"/>
    <xf numFmtId="0" fontId="84" fillId="0" borderId="0"/>
    <xf numFmtId="42" fontId="73" fillId="0" borderId="0" applyFont="0" applyFill="0" applyBorder="0" applyAlignment="0" applyProtection="0"/>
    <xf numFmtId="0" fontId="85" fillId="0" borderId="0">
      <alignment vertical="top"/>
    </xf>
    <xf numFmtId="0" fontId="86" fillId="0" borderId="0">
      <alignment vertical="top"/>
    </xf>
    <xf numFmtId="0" fontId="86" fillId="0" borderId="0">
      <alignment vertical="top"/>
    </xf>
    <xf numFmtId="0" fontId="72" fillId="0" borderId="0" applyNumberFormat="0" applyFill="0" applyBorder="0" applyAlignment="0" applyProtection="0"/>
    <xf numFmtId="176" fontId="66" fillId="0" borderId="0" applyFon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84" fillId="0" borderId="0"/>
    <xf numFmtId="182"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42"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42"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0" fontId="84" fillId="0" borderId="0"/>
    <xf numFmtId="187"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3" fontId="66"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4" fontId="66" fillId="0" borderId="0" applyFont="0" applyFill="0" applyBorder="0" applyAlignment="0" applyProtection="0"/>
    <xf numFmtId="171" fontId="66"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70" fontId="66"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66"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7" fontId="88"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71" fontId="66"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84" fontId="73" fillId="0" borderId="0" applyFont="0" applyFill="0" applyBorder="0" applyAlignment="0" applyProtection="0"/>
    <xf numFmtId="200"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66"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203" fontId="73" fillId="0" borderId="0" applyFont="0" applyFill="0" applyBorder="0" applyAlignment="0" applyProtection="0"/>
    <xf numFmtId="184" fontId="73" fillId="0" borderId="0" applyFont="0" applyFill="0" applyBorder="0" applyAlignment="0" applyProtection="0"/>
    <xf numFmtId="205"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0" fontId="73" fillId="0" borderId="0" applyFont="0" applyFill="0" applyBorder="0" applyAlignment="0" applyProtection="0"/>
    <xf numFmtId="202"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3"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66"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7" fontId="88"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170" fontId="66"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171" fontId="66" fillId="0" borderId="0" applyFont="0" applyFill="0" applyBorder="0" applyAlignment="0" applyProtection="0"/>
    <xf numFmtId="184" fontId="73" fillId="0" borderId="0" applyFont="0" applyFill="0" applyBorder="0" applyAlignment="0" applyProtection="0"/>
    <xf numFmtId="200"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66"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203" fontId="73" fillId="0" borderId="0" applyFont="0" applyFill="0" applyBorder="0" applyAlignment="0" applyProtection="0"/>
    <xf numFmtId="184" fontId="73" fillId="0" borderId="0" applyFont="0" applyFill="0" applyBorder="0" applyAlignment="0" applyProtection="0"/>
    <xf numFmtId="205"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0" fontId="73" fillId="0" borderId="0" applyFont="0" applyFill="0" applyBorder="0" applyAlignment="0" applyProtection="0"/>
    <xf numFmtId="202"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3"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70"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4" fontId="66"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84" fillId="0" borderId="0"/>
    <xf numFmtId="0" fontId="84" fillId="0" borderId="0"/>
    <xf numFmtId="182" fontId="73" fillId="0" borderId="0" applyFont="0" applyFill="0" applyBorder="0" applyAlignment="0" applyProtection="0"/>
    <xf numFmtId="0" fontId="84" fillId="0" borderId="0"/>
    <xf numFmtId="0" fontId="84" fillId="0" borderId="0"/>
    <xf numFmtId="0" fontId="84" fillId="0" borderId="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7"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7" fontId="88"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0" fontId="84" fillId="0" borderId="0"/>
    <xf numFmtId="199"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70" fontId="66" fillId="0" borderId="0" applyFont="0" applyFill="0" applyBorder="0" applyAlignment="0" applyProtection="0"/>
    <xf numFmtId="184" fontId="73" fillId="0" borderId="0" applyFont="0" applyFill="0" applyBorder="0" applyAlignment="0" applyProtection="0"/>
    <xf numFmtId="200"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66"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203" fontId="73" fillId="0" borderId="0" applyFont="0" applyFill="0" applyBorder="0" applyAlignment="0" applyProtection="0"/>
    <xf numFmtId="184" fontId="73" fillId="0" borderId="0" applyFont="0" applyFill="0" applyBorder="0" applyAlignment="0" applyProtection="0"/>
    <xf numFmtId="205"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0" fontId="73" fillId="0" borderId="0" applyFont="0" applyFill="0" applyBorder="0" applyAlignment="0" applyProtection="0"/>
    <xf numFmtId="202"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3"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71"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71"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4" fontId="66" fillId="0" borderId="0" applyFont="0" applyFill="0" applyBorder="0" applyAlignment="0" applyProtection="0"/>
    <xf numFmtId="171" fontId="66"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4" fillId="0" borderId="0"/>
    <xf numFmtId="0" fontId="86"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4" fontId="70" fillId="0" borderId="0" applyProtection="0"/>
    <xf numFmtId="183" fontId="70" fillId="0" borderId="0" applyProtection="0"/>
    <xf numFmtId="183" fontId="70" fillId="0" borderId="0" applyProtection="0"/>
    <xf numFmtId="0" fontId="67" fillId="0" borderId="0" applyProtection="0"/>
    <xf numFmtId="174" fontId="70" fillId="0" borderId="0" applyProtection="0"/>
    <xf numFmtId="183" fontId="70" fillId="0" borderId="0" applyProtection="0"/>
    <xf numFmtId="183" fontId="70" fillId="0" borderId="0" applyProtection="0"/>
    <xf numFmtId="0" fontId="67" fillId="0" borderId="0" applyProtection="0"/>
    <xf numFmtId="187"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84" fillId="0" borderId="0"/>
    <xf numFmtId="182" fontId="73" fillId="0" borderId="0" applyFont="0" applyFill="0" applyBorder="0" applyAlignment="0" applyProtection="0"/>
    <xf numFmtId="0" fontId="84" fillId="0" borderId="0"/>
    <xf numFmtId="208" fontId="89" fillId="0" borderId="0" applyFont="0" applyFill="0" applyBorder="0" applyAlignment="0" applyProtection="0"/>
    <xf numFmtId="209" fontId="90" fillId="0" borderId="0" applyFont="0" applyFill="0" applyBorder="0" applyAlignment="0" applyProtection="0"/>
    <xf numFmtId="210" fontId="90" fillId="0" borderId="0" applyFont="0" applyFill="0" applyBorder="0" applyAlignment="0" applyProtection="0"/>
    <xf numFmtId="0" fontId="91" fillId="0" borderId="0"/>
    <xf numFmtId="0" fontId="92" fillId="0" borderId="0"/>
    <xf numFmtId="0" fontId="92" fillId="0" borderId="0"/>
    <xf numFmtId="0" fontId="92" fillId="0" borderId="0"/>
    <xf numFmtId="0" fontId="32" fillId="0" borderId="0"/>
    <xf numFmtId="1" fontId="93" fillId="0" borderId="2" applyBorder="0" applyAlignment="0">
      <alignment horizontal="center"/>
    </xf>
    <xf numFmtId="1" fontId="93" fillId="0" borderId="2" applyBorder="0" applyAlignment="0">
      <alignment horizontal="center"/>
    </xf>
    <xf numFmtId="0" fontId="94" fillId="0" borderId="0"/>
    <xf numFmtId="0" fontId="94" fillId="0" borderId="0"/>
    <xf numFmtId="0" fontId="4" fillId="0" borderId="0"/>
    <xf numFmtId="0" fontId="95" fillId="0" borderId="0"/>
    <xf numFmtId="0" fontId="94" fillId="0" borderId="0" applyProtection="0"/>
    <xf numFmtId="3" fontId="68" fillId="0" borderId="2"/>
    <xf numFmtId="3" fontId="68" fillId="0" borderId="2"/>
    <xf numFmtId="3" fontId="68" fillId="0" borderId="2"/>
    <xf numFmtId="3" fontId="68" fillId="0" borderId="2"/>
    <xf numFmtId="208" fontId="89" fillId="0" borderId="0" applyFont="0" applyFill="0" applyBorder="0" applyAlignment="0" applyProtection="0"/>
    <xf numFmtId="0" fontId="96" fillId="3" borderId="0"/>
    <xf numFmtId="0" fontId="96" fillId="3" borderId="0"/>
    <xf numFmtId="0" fontId="96" fillId="3" borderId="0"/>
    <xf numFmtId="208" fontId="89" fillId="0" borderId="0" applyFont="0" applyFill="0" applyBorder="0" applyAlignment="0" applyProtection="0"/>
    <xf numFmtId="0" fontId="9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208" fontId="89" fillId="0" borderId="0" applyFont="0" applyFill="0" applyBorder="0" applyAlignment="0" applyProtection="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8" fillId="0" borderId="0" applyFont="0" applyFill="0" applyBorder="0" applyAlignment="0">
      <alignment horizontal="left"/>
    </xf>
    <xf numFmtId="0" fontId="96" fillId="3" borderId="0"/>
    <xf numFmtId="0" fontId="98" fillId="0" borderId="0" applyFont="0" applyFill="0" applyBorder="0" applyAlignment="0">
      <alignment horizontal="left"/>
    </xf>
    <xf numFmtId="208" fontId="89" fillId="0" borderId="0" applyFont="0" applyFill="0" applyBorder="0" applyAlignment="0" applyProtection="0"/>
    <xf numFmtId="0" fontId="96" fillId="3" borderId="0"/>
    <xf numFmtId="0" fontId="96" fillId="3" borderId="0"/>
    <xf numFmtId="0" fontId="99" fillId="0" borderId="2" applyNumberFormat="0" applyFont="0" applyBorder="0">
      <alignment horizontal="left" indent="2"/>
    </xf>
    <xf numFmtId="0" fontId="99" fillId="0" borderId="2" applyNumberFormat="0" applyFont="0" applyBorder="0">
      <alignment horizontal="left" indent="2"/>
    </xf>
    <xf numFmtId="0" fontId="98" fillId="0" borderId="0" applyFont="0" applyFill="0" applyBorder="0" applyAlignment="0">
      <alignment horizontal="left"/>
    </xf>
    <xf numFmtId="0" fontId="98" fillId="0" borderId="0" applyFont="0" applyFill="0" applyBorder="0" applyAlignment="0">
      <alignment horizontal="left"/>
    </xf>
    <xf numFmtId="0" fontId="100" fillId="0" borderId="0"/>
    <xf numFmtId="0" fontId="101" fillId="4" borderId="19" applyFont="0" applyFill="0" applyAlignment="0">
      <alignment vertical="center" wrapText="1"/>
    </xf>
    <xf numFmtId="9" fontId="102" fillId="0" borderId="0" applyBorder="0" applyAlignment="0" applyProtection="0"/>
    <xf numFmtId="0" fontId="103" fillId="3" borderId="0"/>
    <xf numFmtId="0" fontId="103"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3" fillId="3" borderId="0"/>
    <xf numFmtId="0" fontId="103" fillId="3" borderId="0"/>
    <xf numFmtId="0" fontId="99" fillId="0" borderId="2" applyNumberFormat="0" applyFont="0" applyBorder="0" applyAlignment="0">
      <alignment horizontal="center"/>
    </xf>
    <xf numFmtId="0" fontId="99" fillId="0" borderId="2" applyNumberFormat="0" applyFont="0" applyBorder="0" applyAlignment="0">
      <alignment horizontal="center"/>
    </xf>
    <xf numFmtId="0" fontId="104" fillId="5"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5" fillId="0" borderId="0"/>
    <xf numFmtId="0" fontId="106" fillId="3" borderId="0"/>
    <xf numFmtId="0" fontId="10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6" fillId="3" borderId="0"/>
    <xf numFmtId="0" fontId="107" fillId="0" borderId="0">
      <alignment wrapText="1"/>
    </xf>
    <xf numFmtId="0" fontId="10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107" fillId="0" borderId="0">
      <alignment wrapText="1"/>
    </xf>
    <xf numFmtId="0" fontId="104" fillId="11"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8" borderId="0" applyNumberFormat="0" applyBorder="0" applyAlignment="0" applyProtection="0"/>
    <xf numFmtId="0" fontId="104" fillId="11" borderId="0" applyNumberFormat="0" applyBorder="0" applyAlignment="0" applyProtection="0"/>
    <xf numFmtId="0" fontId="104" fillId="14" borderId="0" applyNumberFormat="0" applyBorder="0" applyAlignment="0" applyProtection="0"/>
    <xf numFmtId="175" fontId="108" fillId="0" borderId="1" applyNumberFormat="0" applyFont="0" applyBorder="0" applyAlignment="0">
      <alignment horizontal="center"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9" fillId="15" borderId="0" applyNumberFormat="0" applyBorder="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09" fillId="19"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2" borderId="0" applyNumberFormat="0" applyBorder="0" applyAlignment="0" applyProtection="0"/>
    <xf numFmtId="211" fontId="111" fillId="0" borderId="0" applyFont="0" applyFill="0" applyBorder="0" applyAlignment="0" applyProtection="0"/>
    <xf numFmtId="0" fontId="112" fillId="0" borderId="0" applyFont="0" applyFill="0" applyBorder="0" applyAlignment="0" applyProtection="0"/>
    <xf numFmtId="168" fontId="113" fillId="0" borderId="0" applyFont="0" applyFill="0" applyBorder="0" applyAlignment="0" applyProtection="0"/>
    <xf numFmtId="203" fontId="111" fillId="0" borderId="0" applyFont="0" applyFill="0" applyBorder="0" applyAlignment="0" applyProtection="0"/>
    <xf numFmtId="0" fontId="112" fillId="0" borderId="0" applyFont="0" applyFill="0" applyBorder="0" applyAlignment="0" applyProtection="0"/>
    <xf numFmtId="212" fontId="111" fillId="0" borderId="0" applyFont="0" applyFill="0" applyBorder="0" applyAlignment="0" applyProtection="0"/>
    <xf numFmtId="0" fontId="114" fillId="0" borderId="0">
      <alignment horizontal="center" wrapText="1"/>
      <protection locked="0"/>
    </xf>
    <xf numFmtId="0" fontId="40" fillId="0" borderId="0">
      <alignment horizontal="center" wrapText="1"/>
      <protection locked="0"/>
    </xf>
    <xf numFmtId="0" fontId="115" fillId="0" borderId="0" applyNumberFormat="0" applyBorder="0" applyAlignment="0">
      <alignment horizontal="center"/>
    </xf>
    <xf numFmtId="201" fontId="116" fillId="0" borderId="0" applyFont="0" applyFill="0" applyBorder="0" applyAlignment="0" applyProtection="0"/>
    <xf numFmtId="0" fontId="117" fillId="0" borderId="0" applyFont="0" applyFill="0" applyBorder="0" applyAlignment="0" applyProtection="0"/>
    <xf numFmtId="213" fontId="73" fillId="0" borderId="0" applyFont="0" applyFill="0" applyBorder="0" applyAlignment="0" applyProtection="0"/>
    <xf numFmtId="191" fontId="116" fillId="0" borderId="0" applyFont="0" applyFill="0" applyBorder="0" applyAlignment="0" applyProtection="0"/>
    <xf numFmtId="0" fontId="117" fillId="0" borderId="0" applyFont="0" applyFill="0" applyBorder="0" applyAlignment="0" applyProtection="0"/>
    <xf numFmtId="214" fontId="73"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0" fontId="118" fillId="6" borderId="0" applyNumberFormat="0" applyBorder="0" applyAlignment="0" applyProtection="0"/>
    <xf numFmtId="0" fontId="119" fillId="0" borderId="0" applyNumberFormat="0" applyFill="0" applyBorder="0" applyAlignment="0" applyProtection="0"/>
    <xf numFmtId="0" fontId="117" fillId="0" borderId="0"/>
    <xf numFmtId="0" fontId="120" fillId="0" borderId="0"/>
    <xf numFmtId="0" fontId="121" fillId="0" borderId="0"/>
    <xf numFmtId="0" fontId="117" fillId="0" borderId="0"/>
    <xf numFmtId="0" fontId="122" fillId="0" borderId="0"/>
    <xf numFmtId="0" fontId="123" fillId="0" borderId="0"/>
    <xf numFmtId="0" fontId="124" fillId="0" borderId="0"/>
    <xf numFmtId="215" fontId="87" fillId="0" borderId="0" applyFill="0" applyBorder="0" applyAlignment="0"/>
    <xf numFmtId="216" fontId="48"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9"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1"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3" fontId="105"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126" fillId="23" borderId="20" applyNumberFormat="0" applyAlignment="0" applyProtection="0"/>
    <xf numFmtId="0" fontId="127" fillId="0" borderId="0"/>
    <xf numFmtId="0" fontId="128" fillId="0" borderId="0"/>
    <xf numFmtId="0" fontId="129" fillId="0" borderId="0" applyFill="0" applyBorder="0" applyProtection="0">
      <alignment horizontal="center"/>
      <protection locked="0"/>
    </xf>
    <xf numFmtId="229" fontId="73" fillId="0" borderId="0" applyFont="0" applyFill="0" applyBorder="0" applyAlignment="0" applyProtection="0"/>
    <xf numFmtId="0" fontId="130" fillId="0" borderId="6">
      <alignment horizontal="center"/>
    </xf>
    <xf numFmtId="230" fontId="131" fillId="0" borderId="0"/>
    <xf numFmtId="230" fontId="131" fillId="0" borderId="0"/>
    <xf numFmtId="230" fontId="131" fillId="0" borderId="0"/>
    <xf numFmtId="230" fontId="131" fillId="0" borderId="0"/>
    <xf numFmtId="230" fontId="131" fillId="0" borderId="0"/>
    <xf numFmtId="230" fontId="131" fillId="0" borderId="0"/>
    <xf numFmtId="230" fontId="131" fillId="0" borderId="0"/>
    <xf numFmtId="230" fontId="131" fillId="0" borderId="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41" fontId="4" fillId="0" borderId="0" applyFont="0" applyFill="0" applyBorder="0" applyAlignment="0" applyProtection="0"/>
    <xf numFmtId="41" fontId="132" fillId="0" borderId="0" applyFont="0" applyFill="0" applyBorder="0" applyAlignment="0" applyProtection="0"/>
    <xf numFmtId="170" fontId="110"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20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232" fontId="70" fillId="0" borderId="0" applyProtection="0"/>
    <xf numFmtId="232" fontId="70" fillId="0" borderId="0" applyProtection="0"/>
    <xf numFmtId="20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6" fontId="70" fillId="0" borderId="0" applyFont="0" applyFill="0" applyBorder="0" applyAlignment="0" applyProtection="0"/>
    <xf numFmtId="171" fontId="70" fillId="0" borderId="0" applyFont="0" applyFill="0" applyBorder="0" applyAlignment="0" applyProtection="0"/>
    <xf numFmtId="41" fontId="42" fillId="0" borderId="0" applyFont="0" applyFill="0" applyBorder="0" applyAlignment="0" applyProtection="0"/>
    <xf numFmtId="170" fontId="70"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25" fontId="125"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33" fontId="133" fillId="0" borderId="0" applyFont="0" applyFill="0" applyBorder="0" applyAlignment="0" applyProtection="0"/>
    <xf numFmtId="234" fontId="70" fillId="0" borderId="0" applyFont="0" applyFill="0" applyBorder="0" applyAlignment="0" applyProtection="0"/>
    <xf numFmtId="235" fontId="134" fillId="0" borderId="0" applyFont="0" applyFill="0" applyBorder="0" applyAlignment="0" applyProtection="0"/>
    <xf numFmtId="236" fontId="70" fillId="0" borderId="0" applyFont="0" applyFill="0" applyBorder="0" applyAlignment="0" applyProtection="0"/>
    <xf numFmtId="237" fontId="134" fillId="0" borderId="0" applyFont="0" applyFill="0" applyBorder="0" applyAlignment="0" applyProtection="0"/>
    <xf numFmtId="238" fontId="70" fillId="0" borderId="0" applyFont="0" applyFill="0" applyBorder="0" applyAlignment="0" applyProtection="0"/>
    <xf numFmtId="171"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66" fontId="42" fillId="0" borderId="0" applyFont="0" applyFill="0" applyBorder="0" applyAlignment="0" applyProtection="0"/>
    <xf numFmtId="239"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17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242" fontId="42" fillId="0" borderId="0" applyFont="0" applyFill="0" applyBorder="0" applyAlignment="0" applyProtection="0"/>
    <xf numFmtId="242" fontId="42"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242" fontId="42" fillId="0" borderId="0" applyFont="0" applyFill="0" applyBorder="0" applyAlignment="0" applyProtection="0"/>
    <xf numFmtId="242"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136" fillId="0" borderId="0" applyFont="0" applyFill="0" applyBorder="0" applyAlignment="0" applyProtection="0"/>
    <xf numFmtId="43" fontId="42"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71" fontId="42" fillId="0" borderId="0" applyFont="0" applyFill="0" applyBorder="0" applyAlignment="0" applyProtection="0"/>
    <xf numFmtId="43" fontId="6" fillId="0" borderId="0" applyFont="0" applyFill="0" applyBorder="0" applyAlignment="0" applyProtection="0"/>
    <xf numFmtId="210" fontId="4" fillId="0" borderId="0" applyFont="0" applyFill="0" applyBorder="0" applyAlignment="0" applyProtection="0"/>
    <xf numFmtId="43" fontId="42" fillId="0" borderId="0" applyFont="0" applyFill="0" applyBorder="0" applyAlignment="0" applyProtection="0"/>
    <xf numFmtId="243" fontId="42" fillId="0" borderId="0" applyFont="0" applyFill="0" applyBorder="0" applyAlignment="0" applyProtection="0"/>
    <xf numFmtId="244" fontId="42" fillId="0" borderId="0" applyFont="0" applyFill="0" applyBorder="0" applyAlignment="0" applyProtection="0"/>
    <xf numFmtId="243" fontId="42" fillId="0" borderId="0" applyFont="0" applyFill="0" applyBorder="0" applyAlignment="0" applyProtection="0"/>
    <xf numFmtId="43" fontId="42" fillId="0" borderId="0" applyFont="0" applyFill="0" applyBorder="0" applyAlignment="0" applyProtection="0"/>
    <xf numFmtId="43" fontId="135" fillId="0" borderId="0" applyFont="0" applyFill="0" applyBorder="0" applyAlignment="0" applyProtection="0"/>
    <xf numFmtId="43" fontId="42" fillId="0" borderId="0" applyFont="0" applyFill="0" applyBorder="0" applyAlignment="0" applyProtection="0"/>
    <xf numFmtId="245" fontId="4"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2" fontId="4" fillId="0" borderId="0" applyFont="0" applyFill="0" applyBorder="0" applyAlignment="0" applyProtection="0"/>
    <xf numFmtId="44" fontId="70" fillId="0" borderId="0" applyFont="0" applyFill="0" applyBorder="0" applyAlignment="0" applyProtection="0"/>
    <xf numFmtId="43" fontId="7" fillId="0" borderId="0" applyFont="0" applyFill="0" applyBorder="0" applyAlignment="0" applyProtection="0"/>
    <xf numFmtId="0" fontId="42" fillId="0" borderId="0" applyFont="0" applyFill="0" applyBorder="0" applyAlignment="0" applyProtection="0"/>
    <xf numFmtId="246"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6" fontId="70" fillId="0" borderId="0" applyFont="0" applyFill="0" applyBorder="0" applyAlignment="0" applyProtection="0"/>
    <xf numFmtId="247" fontId="91" fillId="0" borderId="0" applyFont="0" applyFill="0" applyBorder="0" applyAlignment="0" applyProtection="0"/>
    <xf numFmtId="43" fontId="42" fillId="0" borderId="0" applyFont="0" applyFill="0" applyBorder="0" applyAlignment="0" applyProtection="0"/>
    <xf numFmtId="246"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137" fillId="0" borderId="0" applyFont="0" applyFill="0" applyBorder="0" applyAlignment="0" applyProtection="0"/>
    <xf numFmtId="43" fontId="42" fillId="0" borderId="0" applyFont="0" applyFill="0" applyBorder="0" applyAlignment="0" applyProtection="0"/>
    <xf numFmtId="247" fontId="91" fillId="0" borderId="0" applyFont="0" applyFill="0" applyBorder="0" applyAlignment="0" applyProtection="0"/>
    <xf numFmtId="248" fontId="70" fillId="0" borderId="0" applyProtection="0"/>
    <xf numFmtId="247" fontId="91" fillId="0" borderId="0" applyFont="0" applyFill="0" applyBorder="0" applyAlignment="0" applyProtection="0"/>
    <xf numFmtId="166" fontId="70" fillId="0" borderId="0" applyFont="0" applyFill="0" applyBorder="0" applyAlignment="0" applyProtection="0"/>
    <xf numFmtId="166"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9"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1" fontId="110" fillId="0" borderId="0" applyFont="0" applyFill="0" applyBorder="0" applyAlignment="0" applyProtection="0"/>
    <xf numFmtId="250" fontId="70"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50" fontId="70" fillId="0" borderId="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50" fontId="70" fillId="0" borderId="0" applyProtection="0"/>
    <xf numFmtId="43"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70" fillId="0" borderId="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0" fontId="87"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51" fontId="38" fillId="0" borderId="0" applyFont="0" applyFill="0" applyBorder="0" applyAlignment="0" applyProtection="0"/>
    <xf numFmtId="43" fontId="4" fillId="0" borderId="0" applyFont="0" applyFill="0" applyBorder="0" applyAlignment="0" applyProtection="0"/>
    <xf numFmtId="252" fontId="38" fillId="0" borderId="0" applyFont="0" applyFill="0" applyBorder="0" applyAlignment="0" applyProtection="0"/>
    <xf numFmtId="43" fontId="4"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71" fontId="42" fillId="0" borderId="0" applyFont="0" applyFill="0" applyBorder="0" applyAlignment="0" applyProtection="0"/>
    <xf numFmtId="250" fontId="70" fillId="0" borderId="0" applyProtection="0"/>
    <xf numFmtId="250" fontId="70"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0"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0" fontId="42" fillId="0" borderId="0" applyFont="0" applyFill="0" applyBorder="0" applyAlignment="0" applyProtection="0"/>
    <xf numFmtId="43" fontId="42" fillId="0" borderId="0" applyFont="0" applyFill="0" applyBorder="0" applyAlignment="0" applyProtection="0"/>
    <xf numFmtId="190" fontId="4" fillId="0" borderId="0" applyFont="0" applyFill="0" applyBorder="0" applyAlignment="0" applyProtection="0"/>
    <xf numFmtId="43" fontId="42" fillId="0" borderId="0" applyFont="0" applyFill="0" applyBorder="0" applyAlignment="0" applyProtection="0"/>
    <xf numFmtId="190" fontId="4" fillId="0" borderId="0" applyFont="0" applyFill="0" applyBorder="0" applyAlignment="0" applyProtection="0"/>
    <xf numFmtId="171" fontId="4" fillId="0" borderId="0" applyFont="0" applyFill="0" applyBorder="0" applyAlignment="0" applyProtection="0"/>
    <xf numFmtId="171" fontId="70" fillId="0" borderId="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2" fillId="0" borderId="0" applyFont="0" applyFill="0" applyBorder="0" applyAlignment="0" applyProtection="0"/>
    <xf numFmtId="171" fontId="70" fillId="0" borderId="0" applyFont="0" applyFill="0" applyBorder="0" applyAlignment="0" applyProtection="0"/>
    <xf numFmtId="43" fontId="135"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190" fontId="4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2" fillId="0" borderId="0" applyFont="0" applyFill="0" applyBorder="0" applyAlignment="0" applyProtection="0"/>
    <xf numFmtId="225" fontId="42" fillId="0" borderId="0" applyFont="0" applyFill="0" applyBorder="0" applyAlignment="0" applyProtection="0"/>
    <xf numFmtId="225" fontId="42" fillId="0" borderId="0" applyFont="0" applyFill="0" applyBorder="0" applyAlignment="0" applyProtection="0"/>
    <xf numFmtId="43" fontId="135" fillId="0" borderId="0" applyFont="0" applyFill="0" applyBorder="0" applyAlignment="0" applyProtection="0"/>
    <xf numFmtId="175" fontId="42" fillId="0" borderId="0" applyFont="0" applyFill="0" applyBorder="0" applyAlignment="0" applyProtection="0"/>
    <xf numFmtId="43" fontId="42" fillId="0" borderId="0" applyFont="0" applyFill="0" applyBorder="0" applyAlignment="0" applyProtection="0"/>
    <xf numFmtId="171" fontId="42" fillId="0" borderId="0" applyFont="0" applyFill="0" applyBorder="0" applyAlignment="0" applyProtection="0"/>
    <xf numFmtId="43" fontId="42" fillId="0" borderId="0" applyFont="0" applyFill="0" applyBorder="0" applyAlignment="0" applyProtection="0"/>
    <xf numFmtId="253" fontId="32"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70" fillId="0" borderId="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 fillId="0" borderId="0" applyNumberFormat="0" applyFill="0" applyBorder="0" applyAlignment="0" applyProtection="0"/>
    <xf numFmtId="0" fontId="138" fillId="0" borderId="0">
      <alignment horizontal="center"/>
    </xf>
    <xf numFmtId="0" fontId="139" fillId="0" borderId="0" applyNumberFormat="0" applyAlignment="0">
      <alignment horizontal="left"/>
    </xf>
    <xf numFmtId="189" fontId="140" fillId="0" borderId="0" applyFont="0" applyFill="0" applyBorder="0" applyAlignment="0" applyProtection="0"/>
    <xf numFmtId="254" fontId="141" fillId="0" borderId="0" applyFill="0" applyBorder="0" applyProtection="0"/>
    <xf numFmtId="255" fontId="133" fillId="0" borderId="0" applyFont="0" applyFill="0" applyBorder="0" applyAlignment="0" applyProtection="0"/>
    <xf numFmtId="256" fontId="32" fillId="0" borderId="0" applyFill="0" applyBorder="0" applyProtection="0"/>
    <xf numFmtId="256" fontId="32" fillId="0" borderId="11" applyFill="0" applyProtection="0"/>
    <xf numFmtId="256" fontId="32" fillId="0" borderId="21" applyFill="0" applyProtection="0"/>
    <xf numFmtId="257" fontId="120" fillId="0" borderId="0" applyFont="0" applyFill="0" applyBorder="0" applyAlignment="0" applyProtection="0"/>
    <xf numFmtId="258" fontId="142" fillId="0" borderId="0" applyFont="0" applyFill="0" applyBorder="0" applyAlignment="0" applyProtection="0"/>
    <xf numFmtId="259"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1" fontId="142" fillId="0" borderId="0" applyFont="0" applyFill="0" applyBorder="0" applyAlignment="0" applyProtection="0"/>
    <xf numFmtId="217" fontId="12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62" fontId="134" fillId="0" borderId="0" applyFont="0" applyFill="0" applyBorder="0" applyAlignment="0" applyProtection="0"/>
    <xf numFmtId="263" fontId="70" fillId="0" borderId="0" applyFont="0" applyFill="0" applyBorder="0" applyAlignment="0" applyProtection="0"/>
    <xf numFmtId="264" fontId="134" fillId="0" borderId="0" applyFont="0" applyFill="0" applyBorder="0" applyAlignment="0" applyProtection="0"/>
    <xf numFmtId="265" fontId="134" fillId="0" borderId="0" applyFont="0" applyFill="0" applyBorder="0" applyAlignment="0" applyProtection="0"/>
    <xf numFmtId="266" fontId="70"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70" fillId="0" borderId="0" applyFont="0" applyFill="0" applyBorder="0" applyAlignment="0" applyProtection="0"/>
    <xf numFmtId="270" fontId="134" fillId="0" borderId="0" applyFont="0" applyFill="0" applyBorder="0" applyAlignment="0" applyProtection="0"/>
    <xf numFmtId="44" fontId="42"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4" fontId="70" fillId="0" borderId="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applyProtection="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0" fontId="143" fillId="24" borderId="22" applyNumberFormat="0" applyAlignment="0" applyProtection="0"/>
    <xf numFmtId="175" fontId="94" fillId="0" borderId="0" applyFont="0" applyFill="0" applyBorder="0" applyAlignment="0" applyProtection="0"/>
    <xf numFmtId="1" fontId="144" fillId="0" borderId="7" applyBorder="0"/>
    <xf numFmtId="276" fontId="48" fillId="0" borderId="23"/>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0" fillId="0" borderId="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6" fillId="0" borderId="0" applyFill="0" applyBorder="0" applyAlignment="0"/>
    <xf numFmtId="14" fontId="85" fillId="0" borderId="0" applyFill="0" applyBorder="0" applyAlignment="0"/>
    <xf numFmtId="0" fontId="91" fillId="0" borderId="0" applyProtection="0"/>
    <xf numFmtId="3" fontId="145" fillId="0" borderId="8">
      <alignment horizontal="left" vertical="top" wrapText="1"/>
    </xf>
    <xf numFmtId="43" fontId="135" fillId="0" borderId="0" applyFont="0" applyFill="0" applyBorder="0" applyAlignment="0" applyProtection="0"/>
    <xf numFmtId="277" fontId="32" fillId="0" borderId="0" applyFill="0" applyBorder="0" applyProtection="0"/>
    <xf numFmtId="277" fontId="32" fillId="0" borderId="11" applyFill="0" applyProtection="0"/>
    <xf numFmtId="277" fontId="32" fillId="0" borderId="21" applyFill="0" applyProtection="0"/>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0" fontId="4" fillId="0" borderId="0" applyFont="0" applyFill="0" applyBorder="0" applyAlignment="0" applyProtection="0"/>
    <xf numFmtId="0" fontId="4" fillId="0" borderId="0" applyFont="0" applyFill="0" applyBorder="0" applyAlignment="0" applyProtection="0"/>
    <xf numFmtId="279" fontId="48" fillId="0" borderId="0"/>
    <xf numFmtId="280" fontId="72" fillId="0" borderId="2"/>
    <xf numFmtId="280" fontId="72" fillId="0" borderId="2"/>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applyProtection="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81" fontId="72" fillId="0" borderId="0"/>
    <xf numFmtId="170" fontId="146" fillId="0" borderId="0" applyFont="0" applyFill="0" applyBorder="0" applyAlignment="0" applyProtection="0"/>
    <xf numFmtId="171" fontId="146" fillId="0" borderId="0" applyFont="0" applyFill="0" applyBorder="0" applyAlignment="0" applyProtection="0"/>
    <xf numFmtId="170" fontId="146" fillId="0" borderId="0" applyFont="0" applyFill="0" applyBorder="0" applyAlignment="0" applyProtection="0"/>
    <xf numFmtId="41"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82" fontId="105" fillId="0" borderId="0" applyFont="0" applyFill="0" applyBorder="0" applyAlignment="0" applyProtection="0"/>
    <xf numFmtId="282" fontId="105" fillId="0" borderId="0" applyFont="0" applyFill="0" applyBorder="0" applyAlignment="0" applyProtection="0"/>
    <xf numFmtId="41" fontId="147" fillId="0" borderId="0" applyFont="0" applyFill="0" applyBorder="0" applyAlignment="0" applyProtection="0"/>
    <xf numFmtId="41" fontId="147" fillId="0" borderId="0" applyFont="0" applyFill="0" applyBorder="0" applyAlignment="0" applyProtection="0"/>
    <xf numFmtId="282" fontId="105" fillId="0" borderId="0" applyFont="0" applyFill="0" applyBorder="0" applyAlignment="0" applyProtection="0"/>
    <xf numFmtId="282" fontId="105" fillId="0" borderId="0" applyFont="0" applyFill="0" applyBorder="0" applyAlignment="0" applyProtection="0"/>
    <xf numFmtId="170" fontId="146" fillId="0" borderId="0" applyFont="0" applyFill="0" applyBorder="0" applyAlignment="0" applyProtection="0"/>
    <xf numFmtId="170" fontId="146" fillId="0" borderId="0" applyFont="0" applyFill="0" applyBorder="0" applyAlignment="0" applyProtection="0"/>
    <xf numFmtId="282" fontId="105" fillId="0" borderId="0" applyFont="0" applyFill="0" applyBorder="0" applyAlignment="0" applyProtection="0"/>
    <xf numFmtId="282" fontId="105" fillId="0" borderId="0" applyFont="0" applyFill="0" applyBorder="0" applyAlignment="0" applyProtection="0"/>
    <xf numFmtId="283" fontId="48" fillId="0" borderId="0" applyFont="0" applyFill="0" applyBorder="0" applyAlignment="0" applyProtection="0"/>
    <xf numFmtId="283" fontId="48" fillId="0" borderId="0" applyFont="0" applyFill="0" applyBorder="0" applyAlignment="0" applyProtection="0"/>
    <xf numFmtId="284" fontId="48" fillId="0" borderId="0" applyFont="0" applyFill="0" applyBorder="0" applyAlignment="0" applyProtection="0"/>
    <xf numFmtId="284" fontId="48"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7" fillId="0" borderId="0" applyFont="0" applyFill="0" applyBorder="0" applyAlignment="0" applyProtection="0"/>
    <xf numFmtId="41" fontId="147" fillId="0" borderId="0" applyFont="0" applyFill="0" applyBorder="0" applyAlignment="0" applyProtection="0"/>
    <xf numFmtId="164" fontId="146" fillId="0" borderId="0" applyFont="0" applyFill="0" applyBorder="0" applyAlignment="0" applyProtection="0"/>
    <xf numFmtId="41"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41" fontId="146" fillId="0" borderId="0" applyFont="0" applyFill="0" applyBorder="0" applyAlignment="0" applyProtection="0"/>
    <xf numFmtId="170" fontId="146" fillId="0" borderId="0" applyFont="0" applyFill="0" applyBorder="0" applyAlignment="0" applyProtection="0"/>
    <xf numFmtId="170"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41" fontId="146" fillId="0" borderId="0" applyFont="0" applyFill="0" applyBorder="0" applyAlignment="0" applyProtection="0"/>
    <xf numFmtId="171" fontId="146" fillId="0" borderId="0" applyFont="0" applyFill="0" applyBorder="0" applyAlignment="0" applyProtection="0"/>
    <xf numFmtId="43"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171" fontId="146" fillId="0" borderId="0" applyFont="0" applyFill="0" applyBorder="0" applyAlignment="0" applyProtection="0"/>
    <xf numFmtId="171"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248" fontId="48" fillId="0" borderId="0" applyFont="0" applyFill="0" applyBorder="0" applyAlignment="0" applyProtection="0"/>
    <xf numFmtId="248" fontId="48"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166" fontId="146" fillId="0" borderId="0" applyFont="0" applyFill="0" applyBorder="0" applyAlignment="0" applyProtection="0"/>
    <xf numFmtId="43"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43" fontId="146" fillId="0" borderId="0" applyFont="0" applyFill="0" applyBorder="0" applyAlignment="0" applyProtection="0"/>
    <xf numFmtId="171" fontId="146" fillId="0" borderId="0" applyFont="0" applyFill="0" applyBorder="0" applyAlignment="0" applyProtection="0"/>
    <xf numFmtId="171"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43" fontId="146" fillId="0" borderId="0" applyFont="0" applyFill="0" applyBorder="0" applyAlignment="0" applyProtection="0"/>
    <xf numFmtId="3" fontId="48" fillId="0" borderId="0" applyFont="0" applyBorder="0" applyAlignment="0"/>
    <xf numFmtId="0" fontId="10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148" fillId="0" borderId="0" applyNumberFormat="0" applyAlignment="0">
      <alignment horizontal="left"/>
    </xf>
    <xf numFmtId="0" fontId="149" fillId="0" borderId="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0" fontId="150" fillId="0" borderId="0"/>
    <xf numFmtId="0" fontId="151" fillId="0" borderId="0" applyNumberFormat="0" applyFill="0" applyBorder="0" applyAlignment="0" applyProtection="0"/>
    <xf numFmtId="3" fontId="48" fillId="0" borderId="0" applyFont="0" applyBorder="0" applyAlignment="0"/>
    <xf numFmtId="0" fontId="4" fillId="0" borderId="0"/>
    <xf numFmtId="0" fontId="4" fillId="0" borderId="0"/>
    <xf numFmtId="0" fontId="4"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70" fillId="0" borderId="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52" fillId="0" borderId="0" applyNumberFormat="0" applyFill="0" applyBorder="0" applyAlignment="0" applyProtection="0"/>
    <xf numFmtId="0" fontId="153" fillId="0" borderId="0" applyNumberFormat="0" applyFill="0" applyBorder="0" applyProtection="0">
      <alignment vertical="center"/>
    </xf>
    <xf numFmtId="0" fontId="154" fillId="0" borderId="0" applyNumberFormat="0" applyFill="0" applyBorder="0" applyAlignment="0" applyProtection="0"/>
    <xf numFmtId="0" fontId="155" fillId="0" borderId="0" applyNumberFormat="0" applyFill="0" applyBorder="0" applyProtection="0">
      <alignment vertical="center"/>
    </xf>
    <xf numFmtId="0" fontId="156" fillId="0" borderId="0" applyNumberFormat="0" applyFill="0" applyBorder="0" applyAlignment="0" applyProtection="0"/>
    <xf numFmtId="0" fontId="157" fillId="0" borderId="0" applyNumberFormat="0" applyFill="0" applyBorder="0" applyAlignment="0" applyProtection="0"/>
    <xf numFmtId="288" fontId="158" fillId="0" borderId="25" applyNumberFormat="0" applyFill="0" applyBorder="0" applyAlignment="0" applyProtection="0"/>
    <xf numFmtId="0" fontId="159" fillId="0" borderId="0" applyNumberFormat="0" applyFill="0" applyBorder="0" applyAlignment="0" applyProtection="0"/>
    <xf numFmtId="0" fontId="160" fillId="7"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289" fontId="162" fillId="3" borderId="0" applyBorder="0" applyProtection="0"/>
    <xf numFmtId="0" fontId="163" fillId="0" borderId="0">
      <alignment vertical="top" wrapText="1"/>
    </xf>
    <xf numFmtId="0" fontId="164" fillId="0" borderId="16" applyNumberFormat="0" applyFill="0" applyBorder="0" applyAlignment="0" applyProtection="0">
      <alignment horizontal="center" vertical="center"/>
    </xf>
    <xf numFmtId="0" fontId="165" fillId="0" borderId="0" applyNumberFormat="0" applyFont="0" applyBorder="0" applyAlignment="0">
      <alignment horizontal="left" vertical="center"/>
    </xf>
    <xf numFmtId="290" fontId="120" fillId="0" borderId="0" applyFont="0" applyFill="0" applyBorder="0" applyAlignment="0" applyProtection="0"/>
    <xf numFmtId="0" fontId="166" fillId="25" borderId="0"/>
    <xf numFmtId="0" fontId="167" fillId="0" borderId="0">
      <alignment horizontal="left"/>
    </xf>
    <xf numFmtId="0" fontId="168" fillId="0" borderId="0">
      <alignment horizontal="left"/>
    </xf>
    <xf numFmtId="0" fontId="83" fillId="0" borderId="26" applyNumberFormat="0" applyAlignment="0" applyProtection="0">
      <alignment horizontal="left" vertical="center"/>
    </xf>
    <xf numFmtId="0" fontId="83" fillId="0" borderId="26" applyNumberFormat="0" applyAlignment="0" applyProtection="0">
      <alignment horizontal="left" vertical="center"/>
    </xf>
    <xf numFmtId="0" fontId="83" fillId="0" borderId="4">
      <alignment horizontal="left" vertical="center"/>
    </xf>
    <xf numFmtId="0" fontId="83" fillId="0" borderId="4">
      <alignment horizontal="left" vertical="center"/>
    </xf>
    <xf numFmtId="14" fontId="169" fillId="26" borderId="27">
      <alignment horizontal="center" vertical="center" wrapText="1"/>
    </xf>
    <xf numFmtId="0" fontId="170" fillId="0" borderId="28" applyNumberFormat="0" applyFill="0" applyAlignment="0" applyProtection="0"/>
    <xf numFmtId="0" fontId="171" fillId="0" borderId="29" applyNumberFormat="0" applyFill="0" applyAlignment="0" applyProtection="0"/>
    <xf numFmtId="0" fontId="172" fillId="0" borderId="30" applyNumberFormat="0" applyFill="0" applyAlignment="0" applyProtection="0"/>
    <xf numFmtId="0" fontId="172" fillId="0" borderId="0" applyNumberFormat="0" applyFill="0" applyBorder="0" applyAlignment="0" applyProtection="0"/>
    <xf numFmtId="0" fontId="129" fillId="0" borderId="0" applyFill="0" applyAlignment="0" applyProtection="0">
      <protection locked="0"/>
    </xf>
    <xf numFmtId="0" fontId="129" fillId="0" borderId="1" applyFill="0" applyAlignment="0" applyProtection="0">
      <protection locked="0"/>
    </xf>
    <xf numFmtId="0" fontId="173" fillId="0" borderId="0" applyProtection="0"/>
    <xf numFmtId="0" fontId="83" fillId="0" borderId="0" applyProtection="0"/>
    <xf numFmtId="0" fontId="174" fillId="0" borderId="27">
      <alignment horizontal="center"/>
    </xf>
    <xf numFmtId="0" fontId="174" fillId="0" borderId="0">
      <alignment horizontal="center"/>
    </xf>
    <xf numFmtId="5" fontId="175" fillId="27" borderId="2" applyNumberFormat="0" applyAlignment="0">
      <alignment horizontal="left" vertical="top"/>
    </xf>
    <xf numFmtId="5" fontId="175" fillId="27" borderId="2" applyNumberFormat="0" applyAlignment="0">
      <alignment horizontal="left" vertical="top"/>
    </xf>
    <xf numFmtId="291" fontId="175" fillId="27" borderId="2" applyNumberFormat="0" applyAlignment="0">
      <alignment horizontal="left" vertical="top"/>
    </xf>
    <xf numFmtId="49" fontId="176" fillId="0" borderId="2">
      <alignment vertical="center"/>
    </xf>
    <xf numFmtId="49" fontId="176" fillId="0" borderId="2">
      <alignment vertical="center"/>
    </xf>
    <xf numFmtId="0" fontId="32" fillId="0" borderId="0"/>
    <xf numFmtId="170" fontId="48" fillId="0" borderId="0" applyFont="0" applyFill="0" applyBorder="0" applyAlignment="0" applyProtection="0"/>
    <xf numFmtId="38" fontId="87"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92" fontId="177" fillId="0" borderId="0" applyFont="0" applyFill="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8" borderId="2" applyNumberFormat="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0" fontId="48" fillId="0" borderId="0" applyFont="0" applyFill="0" applyBorder="0" applyAlignment="0" applyProtection="0"/>
    <xf numFmtId="0" fontId="48" fillId="0" borderId="0"/>
    <xf numFmtId="0" fontId="114" fillId="0" borderId="31">
      <alignment horizontal="centerContinuous"/>
    </xf>
    <xf numFmtId="0" fontId="87" fillId="0" borderId="0"/>
    <xf numFmtId="0" fontId="32" fillId="0" borderId="0" applyNumberFormat="0" applyFont="0" applyFill="0" applyBorder="0" applyProtection="0">
      <alignment horizontal="left" vertical="center"/>
    </xf>
    <xf numFmtId="0" fontId="87" fillId="0" borderId="0"/>
    <xf numFmtId="0" fontId="10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182" fillId="0" borderId="32" applyNumberFormat="0" applyFill="0" applyAlignment="0" applyProtection="0"/>
    <xf numFmtId="3" fontId="183" fillId="0" borderId="8" applyNumberFormat="0" applyAlignment="0">
      <alignment horizontal="center" vertical="center"/>
    </xf>
    <xf numFmtId="3" fontId="99" fillId="0" borderId="8" applyNumberFormat="0" applyAlignment="0">
      <alignment horizontal="center" vertical="center"/>
    </xf>
    <xf numFmtId="3" fontId="175" fillId="0" borderId="8" applyNumberFormat="0" applyAlignment="0">
      <alignment horizontal="center" vertical="center"/>
    </xf>
    <xf numFmtId="276" fontId="184" fillId="0" borderId="33" applyNumberFormat="0" applyFont="0" applyFill="0" applyBorder="0">
      <alignment horizontal="center"/>
    </xf>
    <xf numFmtId="276" fontId="184" fillId="0" borderId="33" applyNumberFormat="0" applyFont="0" applyFill="0" applyBorder="0">
      <alignment horizontal="center"/>
    </xf>
    <xf numFmtId="38" fontId="87" fillId="0" borderId="0" applyFont="0" applyFill="0" applyBorder="0" applyAlignment="0" applyProtection="0"/>
    <xf numFmtId="40" fontId="87" fillId="0" borderId="0" applyFont="0" applyFill="0" applyBorder="0" applyAlignment="0" applyProtection="0"/>
    <xf numFmtId="170" fontId="105" fillId="0" borderId="0" applyFont="0" applyFill="0" applyBorder="0" applyAlignment="0" applyProtection="0"/>
    <xf numFmtId="171" fontId="105" fillId="0" borderId="0" applyFont="0" applyFill="0" applyBorder="0" applyAlignment="0" applyProtection="0"/>
    <xf numFmtId="0" fontId="185" fillId="0" borderId="27"/>
    <xf numFmtId="0" fontId="186" fillId="0" borderId="27"/>
    <xf numFmtId="169" fontId="105" fillId="0" borderId="33"/>
    <xf numFmtId="169" fontId="105" fillId="0" borderId="33"/>
    <xf numFmtId="293" fontId="187" fillId="0" borderId="33"/>
    <xf numFmtId="294" fontId="110" fillId="0" borderId="0" applyFont="0" applyFill="0" applyBorder="0" applyAlignment="0" applyProtection="0"/>
    <xf numFmtId="295" fontId="110" fillId="0" borderId="0" applyFont="0" applyFill="0" applyBorder="0" applyAlignment="0" applyProtection="0"/>
    <xf numFmtId="296" fontId="105" fillId="0" borderId="0" applyFont="0" applyFill="0" applyBorder="0" applyAlignment="0" applyProtection="0"/>
    <xf numFmtId="297" fontId="105" fillId="0" borderId="0" applyFont="0" applyFill="0" applyBorder="0" applyAlignment="0" applyProtection="0"/>
    <xf numFmtId="0" fontId="91" fillId="0" borderId="0" applyNumberFormat="0" applyFont="0" applyFill="0" applyAlignment="0"/>
    <xf numFmtId="0" fontId="188" fillId="29" borderId="0" applyNumberFormat="0" applyBorder="0" applyAlignment="0" applyProtection="0"/>
    <xf numFmtId="0" fontId="120" fillId="0" borderId="2"/>
    <xf numFmtId="0" fontId="32" fillId="0" borderId="0"/>
    <xf numFmtId="37" fontId="189" fillId="0" borderId="0"/>
    <xf numFmtId="37" fontId="189" fillId="0" borderId="0"/>
    <xf numFmtId="37" fontId="189" fillId="0" borderId="0"/>
    <xf numFmtId="0" fontId="190" fillId="0" borderId="2" applyNumberFormat="0" applyFont="0" applyFill="0" applyBorder="0" applyAlignment="0">
      <alignment horizontal="center"/>
    </xf>
    <xf numFmtId="0" fontId="190" fillId="0" borderId="2" applyNumberFormat="0" applyFont="0" applyFill="0" applyBorder="0" applyAlignment="0">
      <alignment horizontal="center"/>
    </xf>
    <xf numFmtId="298" fontId="191" fillId="0" borderId="0"/>
    <xf numFmtId="0" fontId="192" fillId="0" borderId="0"/>
    <xf numFmtId="0" fontId="4" fillId="0" borderId="0"/>
    <xf numFmtId="0" fontId="193" fillId="0" borderId="0"/>
    <xf numFmtId="0" fontId="194" fillId="0" borderId="0"/>
    <xf numFmtId="0" fontId="42" fillId="0" borderId="0"/>
    <xf numFmtId="0" fontId="195" fillId="0" borderId="0"/>
    <xf numFmtId="0" fontId="4" fillId="0" borderId="0"/>
    <xf numFmtId="0" fontId="196" fillId="0" borderId="0"/>
    <xf numFmtId="0" fontId="4" fillId="0" borderId="0"/>
    <xf numFmtId="0" fontId="105" fillId="0" borderId="0"/>
    <xf numFmtId="0" fontId="4" fillId="0" borderId="0"/>
    <xf numFmtId="0" fontId="4" fillId="0" borderId="0"/>
    <xf numFmtId="0" fontId="38" fillId="0" borderId="0"/>
    <xf numFmtId="0" fontId="6" fillId="0" borderId="0"/>
    <xf numFmtId="0" fontId="6" fillId="0" borderId="0"/>
    <xf numFmtId="0" fontId="6" fillId="0" borderId="0"/>
    <xf numFmtId="0" fontId="94" fillId="0" borderId="0"/>
    <xf numFmtId="0" fontId="42" fillId="0" borderId="0"/>
    <xf numFmtId="0" fontId="195" fillId="0" borderId="0"/>
    <xf numFmtId="0" fontId="4" fillId="0" borderId="0"/>
    <xf numFmtId="0" fontId="42" fillId="0" borderId="0"/>
    <xf numFmtId="0" fontId="197" fillId="0" borderId="0"/>
    <xf numFmtId="0" fontId="105" fillId="0" borderId="0"/>
    <xf numFmtId="0" fontId="42" fillId="0" borderId="0"/>
    <xf numFmtId="0" fontId="4" fillId="0" borderId="0"/>
    <xf numFmtId="0" fontId="38" fillId="0" borderId="0"/>
    <xf numFmtId="0" fontId="91" fillId="0" borderId="0"/>
    <xf numFmtId="0" fontId="70" fillId="0" borderId="0"/>
    <xf numFmtId="0" fontId="4" fillId="0" borderId="0"/>
    <xf numFmtId="0" fontId="6" fillId="0" borderId="0"/>
    <xf numFmtId="0" fontId="6" fillId="0" borderId="0"/>
    <xf numFmtId="0" fontId="6" fillId="0" borderId="0"/>
    <xf numFmtId="0" fontId="6" fillId="0" borderId="0"/>
    <xf numFmtId="0" fontId="70" fillId="0" borderId="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4" fillId="0" borderId="0"/>
    <xf numFmtId="0" fontId="4" fillId="0" borderId="0"/>
    <xf numFmtId="0" fontId="42" fillId="0" borderId="0"/>
    <xf numFmtId="0" fontId="198" fillId="0" borderId="0"/>
    <xf numFmtId="0" fontId="4" fillId="0" borderId="0"/>
    <xf numFmtId="0" fontId="4" fillId="0" borderId="0"/>
    <xf numFmtId="0" fontId="38" fillId="0" borderId="0"/>
    <xf numFmtId="0" fontId="42" fillId="0" borderId="0"/>
    <xf numFmtId="0" fontId="38" fillId="0" borderId="0"/>
    <xf numFmtId="0" fontId="42" fillId="0" borderId="0"/>
    <xf numFmtId="0" fontId="38" fillId="0" borderId="0"/>
    <xf numFmtId="0" fontId="72"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38" fillId="0" borderId="0"/>
    <xf numFmtId="0" fontId="38" fillId="0" borderId="0"/>
    <xf numFmtId="0" fontId="42" fillId="0" borderId="0"/>
    <xf numFmtId="0" fontId="198" fillId="0" borderId="0"/>
    <xf numFmtId="0" fontId="198" fillId="0" borderId="0"/>
    <xf numFmtId="0" fontId="198" fillId="0" borderId="0"/>
    <xf numFmtId="0" fontId="196" fillId="0" borderId="0"/>
    <xf numFmtId="0" fontId="70" fillId="0" borderId="0" applyProtection="0"/>
    <xf numFmtId="0" fontId="6" fillId="0" borderId="0"/>
    <xf numFmtId="0" fontId="32" fillId="0" borderId="0"/>
    <xf numFmtId="0" fontId="42" fillId="0" borderId="0"/>
    <xf numFmtId="0" fontId="42" fillId="0" borderId="0"/>
    <xf numFmtId="0" fontId="199" fillId="0" borderId="0"/>
    <xf numFmtId="0" fontId="42" fillId="0" borderId="0"/>
    <xf numFmtId="0" fontId="42" fillId="0" borderId="0"/>
    <xf numFmtId="0" fontId="48" fillId="0" borderId="0"/>
    <xf numFmtId="0" fontId="38" fillId="0" borderId="0"/>
    <xf numFmtId="0" fontId="42"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72" fillId="0" borderId="0"/>
    <xf numFmtId="0" fontId="42" fillId="0" borderId="0"/>
    <xf numFmtId="0" fontId="198" fillId="0" borderId="0"/>
    <xf numFmtId="0" fontId="4" fillId="0" borderId="0"/>
    <xf numFmtId="0" fontId="198" fillId="0" borderId="0"/>
    <xf numFmtId="0" fontId="4" fillId="0" borderId="0"/>
    <xf numFmtId="0" fontId="70" fillId="0" borderId="0"/>
    <xf numFmtId="0" fontId="70" fillId="0" borderId="0" applyProtection="0"/>
    <xf numFmtId="0" fontId="70" fillId="0" borderId="0"/>
    <xf numFmtId="0" fontId="70" fillId="0" borderId="0" applyProtection="0"/>
    <xf numFmtId="0" fontId="4" fillId="0" borderId="0"/>
    <xf numFmtId="0" fontId="70" fillId="0" borderId="0" applyProtection="0"/>
    <xf numFmtId="0" fontId="91" fillId="0" borderId="0"/>
    <xf numFmtId="0" fontId="4" fillId="0" borderId="0"/>
    <xf numFmtId="0" fontId="70" fillId="0" borderId="0" applyProtection="0"/>
    <xf numFmtId="0" fontId="70" fillId="0" borderId="0"/>
    <xf numFmtId="0" fontId="91" fillId="0" borderId="0"/>
    <xf numFmtId="0" fontId="70" fillId="0" borderId="0" applyProtection="0"/>
    <xf numFmtId="0" fontId="91" fillId="0" borderId="0"/>
    <xf numFmtId="0" fontId="70" fillId="0" borderId="0" applyProtection="0"/>
    <xf numFmtId="0" fontId="42" fillId="0" borderId="0"/>
    <xf numFmtId="0" fontId="70" fillId="0" borderId="0" applyProtection="0"/>
    <xf numFmtId="0" fontId="4" fillId="0" borderId="0"/>
    <xf numFmtId="0" fontId="200" fillId="0" borderId="0"/>
    <xf numFmtId="0" fontId="42" fillId="0" borderId="0"/>
    <xf numFmtId="0" fontId="4" fillId="0" borderId="0"/>
    <xf numFmtId="0" fontId="195"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6" fillId="0" borderId="0"/>
    <xf numFmtId="0" fontId="198" fillId="0" borderId="0"/>
    <xf numFmtId="0" fontId="4" fillId="0" borderId="0"/>
    <xf numFmtId="0" fontId="110" fillId="0" borderId="0"/>
    <xf numFmtId="0" fontId="110" fillId="0" borderId="0" applyProtection="0"/>
    <xf numFmtId="0" fontId="42" fillId="0" borderId="0" applyProtection="0"/>
    <xf numFmtId="0" fontId="6" fillId="0" borderId="0"/>
    <xf numFmtId="0" fontId="6" fillId="0" borderId="0"/>
    <xf numFmtId="0" fontId="6" fillId="0" borderId="0"/>
    <xf numFmtId="0" fontId="6" fillId="0" borderId="0"/>
    <xf numFmtId="0" fontId="6" fillId="0" borderId="0"/>
    <xf numFmtId="0" fontId="105" fillId="0" borderId="0"/>
    <xf numFmtId="0" fontId="4" fillId="0" borderId="0"/>
    <xf numFmtId="0" fontId="110"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201" fillId="0" borderId="0"/>
    <xf numFmtId="0" fontId="70" fillId="0" borderId="0"/>
    <xf numFmtId="0" fontId="70" fillId="0" borderId="0"/>
    <xf numFmtId="0" fontId="70" fillId="0" borderId="0"/>
    <xf numFmtId="0" fontId="3" fillId="0" borderId="0"/>
    <xf numFmtId="0" fontId="3" fillId="0" borderId="0"/>
    <xf numFmtId="0" fontId="42" fillId="0" borderId="0" applyProtection="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70" fillId="0" borderId="0"/>
    <xf numFmtId="0" fontId="6" fillId="0" borderId="0"/>
    <xf numFmtId="0" fontId="6" fillId="0" borderId="0"/>
    <xf numFmtId="0" fontId="6" fillId="0" borderId="0"/>
    <xf numFmtId="0" fontId="6" fillId="0" borderId="0"/>
    <xf numFmtId="0" fontId="38" fillId="0" borderId="0"/>
    <xf numFmtId="0" fontId="76"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32" fillId="0" borderId="0"/>
    <xf numFmtId="0" fontId="4" fillId="0" borderId="0"/>
    <xf numFmtId="0" fontId="70" fillId="0" borderId="0"/>
    <xf numFmtId="0" fontId="4" fillId="0" borderId="0"/>
    <xf numFmtId="0" fontId="4" fillId="0" borderId="0" applyProtection="0"/>
    <xf numFmtId="0" fontId="70" fillId="0" borderId="0"/>
    <xf numFmtId="0" fontId="70" fillId="0" borderId="0"/>
    <xf numFmtId="0" fontId="6" fillId="0" borderId="0"/>
    <xf numFmtId="0" fontId="6"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48" fillId="0" borderId="0"/>
    <xf numFmtId="0" fontId="42" fillId="0" borderId="0"/>
    <xf numFmtId="0" fontId="32" fillId="0" borderId="0"/>
    <xf numFmtId="0" fontId="32" fillId="0" borderId="0"/>
    <xf numFmtId="0" fontId="48" fillId="0" borderId="0"/>
    <xf numFmtId="0" fontId="42" fillId="0" borderId="0"/>
    <xf numFmtId="0" fontId="42" fillId="0" borderId="0"/>
    <xf numFmtId="0" fontId="4" fillId="0" borderId="0"/>
    <xf numFmtId="0" fontId="4" fillId="0" borderId="0"/>
    <xf numFmtId="0" fontId="42" fillId="0" borderId="0"/>
    <xf numFmtId="0" fontId="42"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8" fillId="0" borderId="0"/>
    <xf numFmtId="0" fontId="93" fillId="0" borderId="0" applyFont="0"/>
    <xf numFmtId="0" fontId="146" fillId="0" borderId="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105" fillId="30" borderId="34" applyNumberFormat="0" applyFont="0" applyAlignment="0" applyProtection="0"/>
    <xf numFmtId="299" fontId="202" fillId="0" borderId="0" applyFont="0" applyFill="0" applyBorder="0" applyProtection="0">
      <alignment vertical="top" wrapText="1"/>
    </xf>
    <xf numFmtId="0" fontId="72" fillId="0" borderId="15" applyNumberFormat="0" applyAlignment="0">
      <alignment horizontal="center"/>
    </xf>
    <xf numFmtId="0" fontId="72" fillId="0" borderId="0"/>
    <xf numFmtId="0" fontId="72" fillId="0" borderId="0"/>
    <xf numFmtId="0" fontId="72" fillId="0" borderId="0" applyProtection="0"/>
    <xf numFmtId="0" fontId="72" fillId="0" borderId="0" applyProtection="0"/>
    <xf numFmtId="3" fontId="203" fillId="0" borderId="0" applyFont="0" applyFill="0" applyBorder="0" applyAlignment="0" applyProtection="0"/>
    <xf numFmtId="170" fontId="92"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NumberFormat="0" applyFill="0" applyBorder="0" applyAlignment="0" applyProtection="0"/>
    <xf numFmtId="0" fontId="204"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Protection="0"/>
    <xf numFmtId="0" fontId="4" fillId="0" borderId="0" applyFont="0" applyFill="0" applyBorder="0" applyAlignment="0" applyProtection="0"/>
    <xf numFmtId="0" fontId="32" fillId="0" borderId="0"/>
    <xf numFmtId="0" fontId="205" fillId="23" borderId="35" applyNumberFormat="0" applyAlignment="0" applyProtection="0"/>
    <xf numFmtId="175" fontId="206" fillId="0" borderId="15" applyFont="0" applyBorder="0" applyAlignment="0"/>
    <xf numFmtId="0" fontId="207" fillId="2" borderId="0"/>
    <xf numFmtId="0" fontId="137" fillId="2" borderId="0"/>
    <xf numFmtId="0" fontId="137" fillId="2" borderId="0"/>
    <xf numFmtId="41" fontId="105"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14" fontId="114" fillId="0" borderId="0">
      <alignment horizontal="center" wrapText="1"/>
      <protection locked="0"/>
    </xf>
    <xf numFmtId="14" fontId="40" fillId="0" borderId="0">
      <alignment horizontal="center" wrapText="1"/>
      <protection locked="0"/>
    </xf>
    <xf numFmtId="300" fontId="129" fillId="0" borderId="0" applyFont="0" applyFill="0" applyBorder="0" applyAlignment="0" applyProtection="0"/>
    <xf numFmtId="301" fontId="133" fillId="0" borderId="0" applyFont="0" applyFill="0" applyBorder="0" applyAlignment="0" applyProtection="0"/>
    <xf numFmtId="302" fontId="13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223" fontId="105"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304" fontId="105"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70" fillId="0" borderId="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6" fontId="134" fillId="0" borderId="0" applyFont="0" applyFill="0" applyBorder="0" applyAlignment="0" applyProtection="0"/>
    <xf numFmtId="307" fontId="133" fillId="0" borderId="0" applyFont="0" applyFill="0" applyBorder="0" applyAlignment="0" applyProtection="0"/>
    <xf numFmtId="308" fontId="134" fillId="0" borderId="0" applyFont="0" applyFill="0" applyBorder="0" applyAlignment="0" applyProtection="0"/>
    <xf numFmtId="309" fontId="133" fillId="0" borderId="0" applyFont="0" applyFill="0" applyBorder="0" applyAlignment="0" applyProtection="0"/>
    <xf numFmtId="310" fontId="134" fillId="0" borderId="0" applyFont="0" applyFill="0" applyBorder="0" applyAlignment="0" applyProtection="0"/>
    <xf numFmtId="311" fontId="1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7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7" fillId="0" borderId="36" applyNumberFormat="0" applyBorder="0"/>
    <xf numFmtId="9" fontId="87" fillId="0" borderId="36" applyNumberFormat="0" applyBorder="0"/>
    <xf numFmtId="0" fontId="10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208" fillId="0" borderId="0"/>
    <xf numFmtId="0" fontId="209" fillId="0" borderId="0"/>
    <xf numFmtId="0" fontId="87" fillId="0" borderId="0" applyNumberFormat="0" applyFont="0" applyFill="0" applyBorder="0" applyAlignment="0" applyProtection="0">
      <alignment horizontal="left"/>
    </xf>
    <xf numFmtId="0" fontId="210" fillId="0" borderId="27">
      <alignment horizontal="center"/>
    </xf>
    <xf numFmtId="1" fontId="105" fillId="0" borderId="8" applyNumberFormat="0" applyFill="0" applyAlignment="0" applyProtection="0">
      <alignment horizontal="center" vertical="center"/>
    </xf>
    <xf numFmtId="0" fontId="211" fillId="31" borderId="0" applyNumberFormat="0" applyFont="0" applyBorder="0" applyAlignment="0">
      <alignment horizontal="center"/>
    </xf>
    <xf numFmtId="0" fontId="211" fillId="31" borderId="0" applyNumberFormat="0" applyFont="0" applyBorder="0" applyAlignment="0">
      <alignment horizontal="center"/>
    </xf>
    <xf numFmtId="14" fontId="212" fillId="0" borderId="0" applyNumberFormat="0" applyFill="0" applyBorder="0" applyAlignment="0" applyProtection="0">
      <alignment horizontal="left"/>
    </xf>
    <xf numFmtId="0" fontId="180" fillId="0" borderId="0"/>
    <xf numFmtId="0" fontId="72" fillId="0" borderId="0"/>
    <xf numFmtId="41" fontId="73" fillId="0" borderId="0" applyFont="0" applyFill="0" applyBorder="0" applyAlignment="0" applyProtection="0"/>
    <xf numFmtId="206" fontId="7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203" fontId="73" fillId="0" borderId="0" applyFont="0" applyFill="0" applyBorder="0" applyAlignment="0" applyProtection="0"/>
    <xf numFmtId="41" fontId="70" fillId="0" borderId="0" applyProtection="0"/>
    <xf numFmtId="4" fontId="213" fillId="32" borderId="37" applyNumberFormat="0" applyProtection="0">
      <alignment vertical="center"/>
    </xf>
    <xf numFmtId="4" fontId="214" fillId="32" borderId="37" applyNumberFormat="0" applyProtection="0">
      <alignment vertical="center"/>
    </xf>
    <xf numFmtId="4" fontId="215" fillId="32" borderId="37" applyNumberFormat="0" applyProtection="0">
      <alignment vertical="center"/>
    </xf>
    <xf numFmtId="4" fontId="216" fillId="32" borderId="37" applyNumberFormat="0" applyProtection="0">
      <alignment vertical="center"/>
    </xf>
    <xf numFmtId="4" fontId="217" fillId="32" borderId="37" applyNumberFormat="0" applyProtection="0">
      <alignment horizontal="left" vertical="center" indent="1"/>
    </xf>
    <xf numFmtId="4" fontId="218" fillId="32" borderId="37" applyNumberFormat="0" applyProtection="0">
      <alignment horizontal="left" vertical="center" indent="1"/>
    </xf>
    <xf numFmtId="4" fontId="217" fillId="33" borderId="0" applyNumberFormat="0" applyProtection="0">
      <alignment horizontal="left" vertical="center" indent="1"/>
    </xf>
    <xf numFmtId="4" fontId="218" fillId="33" borderId="0" applyNumberFormat="0" applyProtection="0">
      <alignment horizontal="left" vertical="center" indent="1"/>
    </xf>
    <xf numFmtId="4" fontId="217" fillId="34" borderId="37" applyNumberFormat="0" applyProtection="0">
      <alignment horizontal="right" vertical="center"/>
    </xf>
    <xf numFmtId="4" fontId="218" fillId="34" borderId="37" applyNumberFormat="0" applyProtection="0">
      <alignment horizontal="right" vertical="center"/>
    </xf>
    <xf numFmtId="4" fontId="217" fillId="35" borderId="37" applyNumberFormat="0" applyProtection="0">
      <alignment horizontal="right" vertical="center"/>
    </xf>
    <xf numFmtId="4" fontId="218" fillId="35" borderId="37" applyNumberFormat="0" applyProtection="0">
      <alignment horizontal="right" vertical="center"/>
    </xf>
    <xf numFmtId="4" fontId="217" fillId="36" borderId="37" applyNumberFormat="0" applyProtection="0">
      <alignment horizontal="right" vertical="center"/>
    </xf>
    <xf numFmtId="4" fontId="218" fillId="36" borderId="37" applyNumberFormat="0" applyProtection="0">
      <alignment horizontal="right" vertical="center"/>
    </xf>
    <xf numFmtId="4" fontId="217" fillId="37" borderId="37" applyNumberFormat="0" applyProtection="0">
      <alignment horizontal="right" vertical="center"/>
    </xf>
    <xf numFmtId="4" fontId="218" fillId="37" borderId="37" applyNumberFormat="0" applyProtection="0">
      <alignment horizontal="right" vertical="center"/>
    </xf>
    <xf numFmtId="4" fontId="217" fillId="38" borderId="37" applyNumberFormat="0" applyProtection="0">
      <alignment horizontal="right" vertical="center"/>
    </xf>
    <xf numFmtId="4" fontId="218" fillId="38" borderId="37" applyNumberFormat="0" applyProtection="0">
      <alignment horizontal="right" vertical="center"/>
    </xf>
    <xf numFmtId="4" fontId="217" fillId="39" borderId="37" applyNumberFormat="0" applyProtection="0">
      <alignment horizontal="right" vertical="center"/>
    </xf>
    <xf numFmtId="4" fontId="218" fillId="39" borderId="37" applyNumberFormat="0" applyProtection="0">
      <alignment horizontal="right" vertical="center"/>
    </xf>
    <xf numFmtId="4" fontId="217" fillId="40" borderId="37" applyNumberFormat="0" applyProtection="0">
      <alignment horizontal="right" vertical="center"/>
    </xf>
    <xf numFmtId="4" fontId="218" fillId="40" borderId="37" applyNumberFormat="0" applyProtection="0">
      <alignment horizontal="right" vertical="center"/>
    </xf>
    <xf numFmtId="4" fontId="217" fillId="41" borderId="37" applyNumberFormat="0" applyProtection="0">
      <alignment horizontal="right" vertical="center"/>
    </xf>
    <xf numFmtId="4" fontId="218" fillId="41" borderId="37" applyNumberFormat="0" applyProtection="0">
      <alignment horizontal="right" vertical="center"/>
    </xf>
    <xf numFmtId="4" fontId="217" fillId="42" borderId="37" applyNumberFormat="0" applyProtection="0">
      <alignment horizontal="right" vertical="center"/>
    </xf>
    <xf numFmtId="4" fontId="218" fillId="42" borderId="37" applyNumberFormat="0" applyProtection="0">
      <alignment horizontal="right" vertical="center"/>
    </xf>
    <xf numFmtId="4" fontId="213" fillId="43" borderId="38" applyNumberFormat="0" applyProtection="0">
      <alignment horizontal="left" vertical="center" indent="1"/>
    </xf>
    <xf numFmtId="4" fontId="214" fillId="43" borderId="38" applyNumberFormat="0" applyProtection="0">
      <alignment horizontal="left" vertical="center" indent="1"/>
    </xf>
    <xf numFmtId="4" fontId="213" fillId="44" borderId="0" applyNumberFormat="0" applyProtection="0">
      <alignment horizontal="left" vertical="center" indent="1"/>
    </xf>
    <xf numFmtId="4" fontId="214" fillId="44" borderId="0" applyNumberFormat="0" applyProtection="0">
      <alignment horizontal="left" vertical="center" indent="1"/>
    </xf>
    <xf numFmtId="4" fontId="213" fillId="33" borderId="0" applyNumberFormat="0" applyProtection="0">
      <alignment horizontal="left" vertical="center" indent="1"/>
    </xf>
    <xf numFmtId="4" fontId="214" fillId="33" borderId="0" applyNumberFormat="0" applyProtection="0">
      <alignment horizontal="left" vertical="center" indent="1"/>
    </xf>
    <xf numFmtId="4" fontId="217" fillId="44" borderId="37" applyNumberFormat="0" applyProtection="0">
      <alignment horizontal="right" vertical="center"/>
    </xf>
    <xf numFmtId="4" fontId="218" fillId="44" borderId="37" applyNumberFormat="0" applyProtection="0">
      <alignment horizontal="right" vertical="center"/>
    </xf>
    <xf numFmtId="4" fontId="86" fillId="44" borderId="0" applyNumberFormat="0" applyProtection="0">
      <alignment horizontal="left" vertical="center" indent="1"/>
    </xf>
    <xf numFmtId="4" fontId="85" fillId="44" borderId="0" applyNumberFormat="0" applyProtection="0">
      <alignment horizontal="left" vertical="center" indent="1"/>
    </xf>
    <xf numFmtId="4" fontId="86" fillId="33" borderId="0" applyNumberFormat="0" applyProtection="0">
      <alignment horizontal="left" vertical="center" indent="1"/>
    </xf>
    <xf numFmtId="4" fontId="85" fillId="33" borderId="0" applyNumberFormat="0" applyProtection="0">
      <alignment horizontal="left" vertical="center" indent="1"/>
    </xf>
    <xf numFmtId="4" fontId="217" fillId="45" borderId="37" applyNumberFormat="0" applyProtection="0">
      <alignment vertical="center"/>
    </xf>
    <xf numFmtId="4" fontId="218" fillId="45" borderId="37" applyNumberFormat="0" applyProtection="0">
      <alignment vertical="center"/>
    </xf>
    <xf numFmtId="4" fontId="219" fillId="45" borderId="37" applyNumberFormat="0" applyProtection="0">
      <alignment vertical="center"/>
    </xf>
    <xf numFmtId="4" fontId="220" fillId="45" borderId="37" applyNumberFormat="0" applyProtection="0">
      <alignment vertical="center"/>
    </xf>
    <xf numFmtId="4" fontId="213" fillId="44" borderId="39" applyNumberFormat="0" applyProtection="0">
      <alignment horizontal="left" vertical="center" indent="1"/>
    </xf>
    <xf numFmtId="4" fontId="214" fillId="44" borderId="39" applyNumberFormat="0" applyProtection="0">
      <alignment horizontal="left" vertical="center" indent="1"/>
    </xf>
    <xf numFmtId="4" fontId="217" fillId="45" borderId="37" applyNumberFormat="0" applyProtection="0">
      <alignment horizontal="right" vertical="center"/>
    </xf>
    <xf numFmtId="4" fontId="218" fillId="45" borderId="37" applyNumberFormat="0" applyProtection="0">
      <alignment horizontal="right" vertical="center"/>
    </xf>
    <xf numFmtId="4" fontId="219" fillId="45" borderId="37" applyNumberFormat="0" applyProtection="0">
      <alignment horizontal="right" vertical="center"/>
    </xf>
    <xf numFmtId="4" fontId="220" fillId="45" borderId="37" applyNumberFormat="0" applyProtection="0">
      <alignment horizontal="right" vertical="center"/>
    </xf>
    <xf numFmtId="4" fontId="213" fillId="44" borderId="37" applyNumberFormat="0" applyProtection="0">
      <alignment horizontal="left" vertical="center" indent="1"/>
    </xf>
    <xf numFmtId="4" fontId="214" fillId="44" borderId="37" applyNumberFormat="0" applyProtection="0">
      <alignment horizontal="left" vertical="center" indent="1"/>
    </xf>
    <xf numFmtId="4" fontId="221" fillId="27" borderId="39" applyNumberFormat="0" applyProtection="0">
      <alignment horizontal="left" vertical="center" indent="1"/>
    </xf>
    <xf numFmtId="4" fontId="222" fillId="27" borderId="39" applyNumberFormat="0" applyProtection="0">
      <alignment horizontal="left" vertical="center" indent="1"/>
    </xf>
    <xf numFmtId="4" fontId="223" fillId="45" borderId="37" applyNumberFormat="0" applyProtection="0">
      <alignment horizontal="right" vertical="center"/>
    </xf>
    <xf numFmtId="4" fontId="224" fillId="45" borderId="37" applyNumberFormat="0" applyProtection="0">
      <alignment horizontal="right" vertical="center"/>
    </xf>
    <xf numFmtId="312" fontId="225" fillId="0" borderId="0" applyFont="0" applyFill="0" applyBorder="0" applyAlignment="0" applyProtection="0"/>
    <xf numFmtId="0" fontId="211" fillId="1" borderId="4" applyNumberFormat="0" applyFont="0" applyAlignment="0">
      <alignment horizontal="center"/>
    </xf>
    <xf numFmtId="0" fontId="211" fillId="1" borderId="4" applyNumberFormat="0" applyFont="0" applyAlignment="0">
      <alignment horizontal="center"/>
    </xf>
    <xf numFmtId="3" fontId="66" fillId="0" borderId="0"/>
    <xf numFmtId="0" fontId="226" fillId="0" borderId="0" applyNumberFormat="0" applyFill="0" applyBorder="0" applyAlignment="0">
      <alignment horizontal="center"/>
    </xf>
    <xf numFmtId="0" fontId="105" fillId="0" borderId="0"/>
    <xf numFmtId="175" fontId="227" fillId="0" borderId="0" applyNumberFormat="0" applyBorder="0" applyAlignment="0">
      <alignment horizontal="centerContinuous"/>
    </xf>
    <xf numFmtId="0" fontId="84" fillId="0" borderId="0"/>
    <xf numFmtId="0" fontId="84" fillId="0" borderId="0"/>
    <xf numFmtId="0" fontId="72" fillId="0" borderId="0" applyNumberFormat="0" applyFill="0" applyBorder="0" applyAlignment="0" applyProtection="0"/>
    <xf numFmtId="175" fontId="94" fillId="0" borderId="0" applyFont="0" applyFill="0" applyBorder="0" applyAlignment="0" applyProtection="0"/>
    <xf numFmtId="205" fontId="73" fillId="0" borderId="0" applyFont="0" applyFill="0" applyBorder="0" applyAlignment="0" applyProtection="0"/>
    <xf numFmtId="170"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0" fontId="48" fillId="0" borderId="0" applyFont="0" applyFill="0" applyBorder="0" applyAlignment="0" applyProtection="0"/>
    <xf numFmtId="18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0" fontId="48" fillId="0" borderId="0" applyFont="0" applyFill="0" applyBorder="0" applyAlignment="0" applyProtection="0"/>
    <xf numFmtId="184"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70" fontId="48" fillId="0" borderId="0" applyFont="0" applyFill="0" applyBorder="0" applyAlignment="0" applyProtection="0"/>
    <xf numFmtId="184" fontId="73" fillId="0" borderId="0" applyFont="0" applyFill="0" applyBorder="0" applyAlignment="0" applyProtection="0"/>
    <xf numFmtId="42" fontId="73" fillId="0" borderId="0" applyFont="0" applyFill="0" applyBorder="0" applyAlignment="0" applyProtection="0"/>
    <xf numFmtId="0" fontId="72" fillId="0" borderId="0"/>
    <xf numFmtId="313" fontId="120"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75" fontId="94" fillId="0" borderId="0" applyFont="0" applyFill="0" applyBorder="0" applyAlignment="0" applyProtection="0"/>
    <xf numFmtId="20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75" fontId="94" fillId="0" borderId="0" applyFont="0" applyFill="0" applyBorder="0" applyAlignment="0" applyProtection="0"/>
    <xf numFmtId="202" fontId="73" fillId="0" borderId="0" applyFont="0" applyFill="0" applyBorder="0" applyAlignment="0" applyProtection="0"/>
    <xf numFmtId="199"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0" fontId="72" fillId="0" borderId="0"/>
    <xf numFmtId="313" fontId="120"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206" fontId="73" fillId="0" borderId="0" applyFont="0" applyFill="0" applyBorder="0" applyAlignment="0" applyProtection="0"/>
    <xf numFmtId="41" fontId="73" fillId="0" borderId="0" applyFont="0" applyFill="0" applyBorder="0" applyAlignment="0" applyProtection="0"/>
    <xf numFmtId="200" fontId="73" fillId="0" borderId="0" applyFont="0" applyFill="0" applyBorder="0" applyAlignment="0" applyProtection="0"/>
    <xf numFmtId="164" fontId="73" fillId="0" borderId="0" applyFont="0" applyFill="0" applyBorder="0" applyAlignment="0" applyProtection="0"/>
    <xf numFmtId="200"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41"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2" fontId="73" fillId="0" borderId="0" applyFont="0" applyFill="0" applyBorder="0" applyAlignment="0" applyProtection="0"/>
    <xf numFmtId="202" fontId="73" fillId="0" borderId="0" applyFont="0" applyFill="0" applyBorder="0" applyAlignment="0" applyProtection="0"/>
    <xf numFmtId="196" fontId="73" fillId="0" borderId="0" applyFont="0" applyFill="0" applyBorder="0" applyAlignment="0" applyProtection="0"/>
    <xf numFmtId="202" fontId="73" fillId="0" borderId="0" applyFont="0" applyFill="0" applyBorder="0" applyAlignment="0" applyProtection="0"/>
    <xf numFmtId="176" fontId="66" fillId="0" borderId="0" applyFont="0" applyFill="0" applyBorder="0" applyAlignment="0" applyProtection="0"/>
    <xf numFmtId="201" fontId="73" fillId="0" borderId="0" applyFont="0" applyFill="0" applyBorder="0" applyAlignment="0" applyProtection="0"/>
    <xf numFmtId="176" fontId="73" fillId="0" borderId="0" applyFont="0" applyFill="0" applyBorder="0" applyAlignment="0" applyProtection="0"/>
    <xf numFmtId="184" fontId="66" fillId="0" borderId="0" applyFont="0" applyFill="0" applyBorder="0" applyAlignment="0" applyProtection="0"/>
    <xf numFmtId="0" fontId="72" fillId="0" borderId="0"/>
    <xf numFmtId="205" fontId="73" fillId="0" borderId="0" applyFont="0" applyFill="0" applyBorder="0" applyAlignment="0" applyProtection="0"/>
    <xf numFmtId="313" fontId="120"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175" fontId="94" fillId="0" borderId="0" applyFont="0" applyFill="0" applyBorder="0" applyAlignment="0" applyProtection="0"/>
    <xf numFmtId="184" fontId="73" fillId="0" borderId="0" applyFont="0" applyFill="0" applyBorder="0" applyAlignment="0" applyProtection="0"/>
    <xf numFmtId="170" fontId="48" fillId="0" borderId="0" applyFont="0" applyFill="0" applyBorder="0" applyAlignment="0" applyProtection="0"/>
    <xf numFmtId="184" fontId="73" fillId="0" borderId="0" applyFont="0" applyFill="0" applyBorder="0" applyAlignment="0" applyProtection="0"/>
    <xf numFmtId="170" fontId="48" fillId="0" borderId="0" applyFont="0" applyFill="0" applyBorder="0" applyAlignment="0" applyProtection="0"/>
    <xf numFmtId="202" fontId="73" fillId="0" borderId="0" applyFont="0" applyFill="0" applyBorder="0" applyAlignment="0" applyProtection="0"/>
    <xf numFmtId="170" fontId="48" fillId="0" borderId="0" applyFont="0" applyFill="0" applyBorder="0" applyAlignment="0" applyProtection="0"/>
    <xf numFmtId="202" fontId="73" fillId="0" borderId="0" applyFont="0" applyFill="0" applyBorder="0" applyAlignment="0" applyProtection="0"/>
    <xf numFmtId="175" fontId="94" fillId="0" borderId="0" applyFont="0" applyFill="0" applyBorder="0" applyAlignment="0" applyProtection="0"/>
    <xf numFmtId="184" fontId="73" fillId="0" borderId="0" applyFont="0" applyFill="0" applyBorder="0" applyAlignment="0" applyProtection="0"/>
    <xf numFmtId="175" fontId="94"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170" fontId="73" fillId="0" borderId="0" applyFont="0" applyFill="0" applyBorder="0" applyAlignment="0" applyProtection="0"/>
    <xf numFmtId="206" fontId="73" fillId="0" borderId="0" applyFont="0" applyFill="0" applyBorder="0" applyAlignment="0" applyProtection="0"/>
    <xf numFmtId="164" fontId="73" fillId="0" borderId="0" applyFont="0" applyFill="0" applyBorder="0" applyAlignment="0" applyProtection="0"/>
    <xf numFmtId="185" fontId="73" fillId="0" borderId="0" applyFont="0" applyFill="0" applyBorder="0" applyAlignment="0" applyProtection="0"/>
    <xf numFmtId="164" fontId="73" fillId="0" borderId="0" applyFont="0" applyFill="0" applyBorder="0" applyAlignment="0" applyProtection="0"/>
    <xf numFmtId="176" fontId="66"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185" fontId="73" fillId="0" borderId="0" applyFont="0" applyFill="0" applyBorder="0" applyAlignment="0" applyProtection="0"/>
    <xf numFmtId="170" fontId="73" fillId="0" borderId="0" applyFont="0" applyFill="0" applyBorder="0" applyAlignment="0" applyProtection="0"/>
    <xf numFmtId="185" fontId="73" fillId="0" borderId="0" applyFont="0" applyFill="0" applyBorder="0" applyAlignment="0" applyProtection="0"/>
    <xf numFmtId="170" fontId="73" fillId="0" borderId="0" applyFont="0" applyFill="0" applyBorder="0" applyAlignment="0" applyProtection="0"/>
    <xf numFmtId="176" fontId="73" fillId="0" borderId="0" applyFont="0" applyFill="0" applyBorder="0" applyAlignment="0" applyProtection="0"/>
    <xf numFmtId="170" fontId="73" fillId="0" borderId="0" applyFont="0" applyFill="0" applyBorder="0" applyAlignment="0" applyProtection="0"/>
    <xf numFmtId="197" fontId="88" fillId="0" borderId="0" applyFont="0" applyFill="0" applyBorder="0" applyAlignment="0" applyProtection="0"/>
    <xf numFmtId="170" fontId="73" fillId="0" borderId="0" applyFont="0" applyFill="0" applyBorder="0" applyAlignment="0" applyProtection="0"/>
    <xf numFmtId="198" fontId="73" fillId="0" borderId="0" applyFont="0" applyFill="0" applyBorder="0" applyAlignment="0" applyProtection="0"/>
    <xf numFmtId="41" fontId="73" fillId="0" borderId="0" applyFont="0" applyFill="0" applyBorder="0" applyAlignment="0" applyProtection="0"/>
    <xf numFmtId="176" fontId="73" fillId="0" borderId="0" applyFont="0" applyFill="0" applyBorder="0" applyAlignment="0" applyProtection="0"/>
    <xf numFmtId="164" fontId="73" fillId="0" borderId="0" applyFont="0" applyFill="0" applyBorder="0" applyAlignment="0" applyProtection="0"/>
    <xf numFmtId="199" fontId="73" fillId="0" borderId="0" applyFont="0" applyFill="0" applyBorder="0" applyAlignment="0" applyProtection="0"/>
    <xf numFmtId="164" fontId="73" fillId="0" borderId="0" applyFont="0" applyFill="0" applyBorder="0" applyAlignment="0" applyProtection="0"/>
    <xf numFmtId="185" fontId="73" fillId="0" borderId="0" applyFont="0" applyFill="0" applyBorder="0" applyAlignment="0" applyProtection="0"/>
    <xf numFmtId="184" fontId="73" fillId="0" borderId="0" applyFont="0" applyFill="0" applyBorder="0" applyAlignment="0" applyProtection="0"/>
    <xf numFmtId="176" fontId="66" fillId="0" borderId="0" applyFont="0" applyFill="0" applyBorder="0" applyAlignment="0" applyProtection="0"/>
    <xf numFmtId="170" fontId="73" fillId="0" borderId="0" applyFont="0" applyFill="0" applyBorder="0" applyAlignment="0" applyProtection="0"/>
    <xf numFmtId="185" fontId="73" fillId="0" borderId="0" applyFont="0" applyFill="0" applyBorder="0" applyAlignment="0" applyProtection="0"/>
    <xf numFmtId="184" fontId="73" fillId="0" borderId="0" applyFont="0" applyFill="0" applyBorder="0" applyAlignment="0" applyProtection="0"/>
    <xf numFmtId="170" fontId="73" fillId="0" borderId="0" applyFont="0" applyFill="0" applyBorder="0" applyAlignment="0" applyProtection="0"/>
    <xf numFmtId="185" fontId="73" fillId="0" borderId="0" applyFont="0" applyFill="0" applyBorder="0" applyAlignment="0" applyProtection="0"/>
    <xf numFmtId="184" fontId="73" fillId="0" borderId="0" applyFont="0" applyFill="0" applyBorder="0" applyAlignment="0" applyProtection="0"/>
    <xf numFmtId="176" fontId="73" fillId="0" borderId="0" applyFont="0" applyFill="0" applyBorder="0" applyAlignment="0" applyProtection="0"/>
    <xf numFmtId="184" fontId="73" fillId="0" borderId="0" applyFont="0" applyFill="0" applyBorder="0" applyAlignment="0" applyProtection="0"/>
    <xf numFmtId="197" fontId="88" fillId="0" borderId="0" applyFont="0" applyFill="0" applyBorder="0" applyAlignment="0" applyProtection="0"/>
    <xf numFmtId="164" fontId="73" fillId="0" borderId="0" applyFont="0" applyFill="0" applyBorder="0" applyAlignment="0" applyProtection="0"/>
    <xf numFmtId="198" fontId="73" fillId="0" borderId="0" applyFont="0" applyFill="0" applyBorder="0" applyAlignment="0" applyProtection="0"/>
    <xf numFmtId="41" fontId="73" fillId="0" borderId="0" applyFont="0" applyFill="0" applyBorder="0" applyAlignment="0" applyProtection="0"/>
    <xf numFmtId="176" fontId="73" fillId="0" borderId="0" applyFont="0" applyFill="0" applyBorder="0" applyAlignment="0" applyProtection="0"/>
    <xf numFmtId="170" fontId="73" fillId="0" borderId="0" applyFont="0" applyFill="0" applyBorder="0" applyAlignment="0" applyProtection="0"/>
    <xf numFmtId="199"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41"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0" fontId="72" fillId="0" borderId="0"/>
    <xf numFmtId="313" fontId="120" fillId="0" borderId="0" applyFont="0" applyFill="0" applyBorder="0" applyAlignment="0" applyProtection="0"/>
    <xf numFmtId="164" fontId="73" fillId="0" borderId="0" applyFont="0" applyFill="0" applyBorder="0" applyAlignment="0" applyProtection="0"/>
    <xf numFmtId="170"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70" fontId="73" fillId="0" borderId="0" applyFont="0" applyFill="0" applyBorder="0" applyAlignment="0" applyProtection="0"/>
    <xf numFmtId="170"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64"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84" fontId="66" fillId="0" borderId="0" applyFont="0" applyFill="0" applyBorder="0" applyAlignment="0" applyProtection="0"/>
    <xf numFmtId="170" fontId="73" fillId="0" borderId="0" applyFont="0" applyFill="0" applyBorder="0" applyAlignment="0" applyProtection="0"/>
    <xf numFmtId="184" fontId="73" fillId="0" borderId="0" applyFont="0" applyFill="0" applyBorder="0" applyAlignment="0" applyProtection="0"/>
    <xf numFmtId="170" fontId="73" fillId="0" borderId="0" applyFont="0" applyFill="0" applyBorder="0" applyAlignment="0" applyProtection="0"/>
    <xf numFmtId="41" fontId="73" fillId="0" borderId="0" applyFont="0" applyFill="0" applyBorder="0" applyAlignment="0" applyProtection="0"/>
    <xf numFmtId="170" fontId="73" fillId="0" borderId="0" applyFont="0" applyFill="0" applyBorder="0" applyAlignment="0" applyProtection="0"/>
    <xf numFmtId="204"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14" fontId="228" fillId="0" borderId="0"/>
    <xf numFmtId="0" fontId="229" fillId="0" borderId="0"/>
    <xf numFmtId="0" fontId="185" fillId="0" borderId="0"/>
    <xf numFmtId="0" fontId="186" fillId="0" borderId="0"/>
    <xf numFmtId="40" fontId="230" fillId="0" borderId="0" applyBorder="0">
      <alignment horizontal="right"/>
    </xf>
    <xf numFmtId="0" fontId="231" fillId="0" borderId="0"/>
    <xf numFmtId="314" fontId="120" fillId="0" borderId="3">
      <alignment horizontal="right" vertical="center"/>
    </xf>
    <xf numFmtId="314" fontId="120" fillId="0" borderId="3">
      <alignment horizontal="right" vertical="center"/>
    </xf>
    <xf numFmtId="314" fontId="120" fillId="0" borderId="3">
      <alignment horizontal="right" vertical="center"/>
    </xf>
    <xf numFmtId="169" fontId="232" fillId="0" borderId="3">
      <alignment horizontal="right" vertical="center"/>
    </xf>
    <xf numFmtId="169" fontId="232" fillId="0" borderId="3">
      <alignment horizontal="right" vertical="center"/>
    </xf>
    <xf numFmtId="314" fontId="12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5" fontId="73" fillId="0" borderId="3">
      <alignment horizontal="right" vertical="center"/>
    </xf>
    <xf numFmtId="315" fontId="73"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6" fontId="94" fillId="0" borderId="3">
      <alignment horizontal="right" vertical="center"/>
    </xf>
    <xf numFmtId="316" fontId="94" fillId="0" borderId="3">
      <alignment horizontal="right" vertical="center"/>
    </xf>
    <xf numFmtId="317" fontId="110" fillId="0" borderId="3">
      <alignment horizontal="right" vertical="center"/>
    </xf>
    <xf numFmtId="318" fontId="105" fillId="0" borderId="3">
      <alignment horizontal="right" vertical="center"/>
    </xf>
    <xf numFmtId="318" fontId="105" fillId="0" borderId="3">
      <alignment horizontal="right" vertical="center"/>
    </xf>
    <xf numFmtId="315" fontId="73" fillId="0" borderId="3">
      <alignment horizontal="right" vertical="center"/>
    </xf>
    <xf numFmtId="315" fontId="73"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318" fontId="4" fillId="0" borderId="3">
      <alignment horizontal="right" vertical="center"/>
    </xf>
    <xf numFmtId="318" fontId="4"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5" fontId="73" fillId="0" borderId="3">
      <alignment horizontal="right" vertical="center"/>
    </xf>
    <xf numFmtId="315" fontId="73" fillId="0" borderId="3">
      <alignment horizontal="right" vertical="center"/>
    </xf>
    <xf numFmtId="318" fontId="4" fillId="0" borderId="3">
      <alignment horizontal="right" vertical="center"/>
    </xf>
    <xf numFmtId="318" fontId="4"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5" fontId="73" fillId="0" borderId="3">
      <alignment horizontal="right" vertical="center"/>
    </xf>
    <xf numFmtId="315" fontId="73"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5" fontId="73" fillId="0" borderId="3">
      <alignment horizontal="right" vertical="center"/>
    </xf>
    <xf numFmtId="315" fontId="73"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5" fontId="73" fillId="0" borderId="3">
      <alignment horizontal="right" vertical="center"/>
    </xf>
    <xf numFmtId="315" fontId="73" fillId="0" borderId="3">
      <alignment horizontal="right" vertical="center"/>
    </xf>
    <xf numFmtId="321" fontId="233" fillId="3" borderId="40" applyFont="0" applyFill="0" applyBorder="0"/>
    <xf numFmtId="321" fontId="233" fillId="3" borderId="40" applyFont="0" applyFill="0" applyBorder="0"/>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8" fontId="105" fillId="0" borderId="3">
      <alignment horizontal="right" vertical="center"/>
    </xf>
    <xf numFmtId="318" fontId="105" fillId="0" borderId="3">
      <alignment horizontal="right" vertical="center"/>
    </xf>
    <xf numFmtId="315" fontId="73" fillId="0" borderId="3">
      <alignment horizontal="right" vertical="center"/>
    </xf>
    <xf numFmtId="315" fontId="73"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21" fontId="233" fillId="3" borderId="40" applyFont="0" applyFill="0" applyBorder="0"/>
    <xf numFmtId="321" fontId="233" fillId="3" borderId="40" applyFont="0" applyFill="0" applyBorder="0"/>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15" fontId="73" fillId="0" borderId="3">
      <alignment horizontal="right" vertical="center"/>
    </xf>
    <xf numFmtId="315" fontId="73"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8" fontId="4" fillId="0" borderId="3">
      <alignment horizontal="right" vertical="center"/>
    </xf>
    <xf numFmtId="318" fontId="4"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315" fontId="73" fillId="0" borderId="3">
      <alignment horizontal="right" vertical="center"/>
    </xf>
    <xf numFmtId="315" fontId="73"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167" fontId="110" fillId="0" borderId="3">
      <alignment horizontal="right" vertical="center"/>
    </xf>
    <xf numFmtId="321" fontId="233" fillId="3" borderId="40" applyFont="0" applyFill="0" applyBorder="0"/>
    <xf numFmtId="321" fontId="233" fillId="3" borderId="40" applyFont="0" applyFill="0" applyBorder="0"/>
    <xf numFmtId="296" fontId="48" fillId="0" borderId="3">
      <alignment horizontal="right" vertical="center"/>
    </xf>
    <xf numFmtId="296" fontId="48" fillId="0" borderId="3">
      <alignment horizontal="right" vertical="center"/>
    </xf>
    <xf numFmtId="296" fontId="48" fillId="0" borderId="3">
      <alignment horizontal="right" vertical="center"/>
    </xf>
    <xf numFmtId="296" fontId="48" fillId="0" borderId="3">
      <alignment horizontal="right" vertical="center"/>
    </xf>
    <xf numFmtId="296" fontId="48" fillId="0" borderId="3">
      <alignment horizontal="right" vertical="center"/>
    </xf>
    <xf numFmtId="296" fontId="48" fillId="0" borderId="3">
      <alignment horizontal="right" vertical="center"/>
    </xf>
    <xf numFmtId="314" fontId="120"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169" fontId="232" fillId="0" borderId="3">
      <alignment horizontal="right" vertical="center"/>
    </xf>
    <xf numFmtId="321" fontId="233" fillId="3" borderId="40" applyFont="0" applyFill="0" applyBorder="0"/>
    <xf numFmtId="321" fontId="233" fillId="3" borderId="40" applyFont="0" applyFill="0" applyBorder="0"/>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23" fontId="234" fillId="0" borderId="3">
      <alignment horizontal="right" vertical="center"/>
    </xf>
    <xf numFmtId="323" fontId="234" fillId="0" borderId="3">
      <alignment horizontal="right" vertical="center"/>
    </xf>
    <xf numFmtId="314" fontId="120" fillId="0" borderId="3">
      <alignment horizontal="right" vertical="center"/>
    </xf>
    <xf numFmtId="314" fontId="120"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14" fontId="120" fillId="0" borderId="3">
      <alignment horizontal="right" vertical="center"/>
    </xf>
    <xf numFmtId="314" fontId="120" fillId="0" borderId="3">
      <alignment horizontal="right" vertical="center"/>
    </xf>
    <xf numFmtId="315" fontId="73" fillId="0" borderId="3">
      <alignment horizontal="right" vertical="center"/>
    </xf>
    <xf numFmtId="315" fontId="73" fillId="0" borderId="3">
      <alignment horizontal="right" vertical="center"/>
    </xf>
    <xf numFmtId="49" fontId="85" fillId="0" borderId="0" applyFill="0" applyBorder="0" applyAlignment="0"/>
    <xf numFmtId="0" fontId="105"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2" fontId="105"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0" fontId="235" fillId="0" borderId="0" applyFill="0" applyBorder="0" applyProtection="0">
      <alignment horizontal="left" vertical="top"/>
    </xf>
    <xf numFmtId="0" fontId="236" fillId="0" borderId="15">
      <alignment horizontal="center" vertical="center" wrapText="1"/>
    </xf>
    <xf numFmtId="0" fontId="237" fillId="0" borderId="0">
      <alignment horizontal="center"/>
    </xf>
    <xf numFmtId="40" fontId="162" fillId="0" borderId="0"/>
    <xf numFmtId="3" fontId="238" fillId="0" borderId="0" applyNumberFormat="0" applyFill="0" applyBorder="0" applyAlignment="0" applyProtection="0">
      <alignment horizontal="center" wrapText="1"/>
    </xf>
    <xf numFmtId="0" fontId="239" fillId="0" borderId="6" applyBorder="0" applyAlignment="0">
      <alignment horizontal="center" vertical="center"/>
    </xf>
    <xf numFmtId="0" fontId="239" fillId="0" borderId="6" applyBorder="0" applyAlignment="0">
      <alignment horizontal="center" vertical="center"/>
    </xf>
    <xf numFmtId="0" fontId="240" fillId="0" borderId="0" applyNumberFormat="0" applyFill="0" applyBorder="0" applyAlignment="0" applyProtection="0">
      <alignment horizontal="centerContinuous"/>
    </xf>
    <xf numFmtId="0" fontId="164" fillId="0" borderId="41" applyNumberFormat="0" applyFill="0" applyBorder="0" applyAlignment="0" applyProtection="0">
      <alignment horizontal="center" vertical="center" wrapText="1"/>
    </xf>
    <xf numFmtId="0" fontId="241" fillId="0" borderId="0" applyNumberFormat="0" applyFill="0" applyBorder="0" applyAlignment="0" applyProtection="0"/>
    <xf numFmtId="3" fontId="242" fillId="0" borderId="8" applyNumberFormat="0" applyAlignment="0">
      <alignment horizontal="center" vertical="center"/>
    </xf>
    <xf numFmtId="3" fontId="243" fillId="0" borderId="15" applyNumberFormat="0" applyAlignment="0">
      <alignment horizontal="left" wrapText="1"/>
    </xf>
    <xf numFmtId="3" fontId="242" fillId="0" borderId="8" applyNumberFormat="0" applyAlignment="0">
      <alignment horizontal="center" vertical="center"/>
    </xf>
    <xf numFmtId="0" fontId="244" fillId="0" borderId="42" applyNumberFormat="0" applyBorder="0" applyAlignment="0">
      <alignment vertical="center"/>
    </xf>
    <xf numFmtId="0" fontId="245" fillId="0" borderId="43" applyNumberFormat="0" applyFill="0" applyAlignment="0" applyProtection="0"/>
    <xf numFmtId="0" fontId="246" fillId="0" borderId="44">
      <alignment horizontal="center"/>
    </xf>
    <xf numFmtId="170" fontId="105" fillId="0" borderId="0" applyFont="0" applyFill="0" applyBorder="0" applyAlignment="0" applyProtection="0"/>
    <xf numFmtId="326" fontId="105" fillId="0" borderId="0" applyFont="0" applyFill="0" applyBorder="0" applyAlignment="0" applyProtection="0"/>
    <xf numFmtId="176" fontId="120" fillId="0" borderId="3">
      <alignment horizontal="center"/>
    </xf>
    <xf numFmtId="176" fontId="120" fillId="0" borderId="3">
      <alignment horizontal="center"/>
    </xf>
    <xf numFmtId="0" fontId="247" fillId="0" borderId="45" applyProtection="0"/>
    <xf numFmtId="0" fontId="120" fillId="0" borderId="0" applyProtection="0"/>
    <xf numFmtId="0" fontId="4" fillId="0" borderId="0" applyProtection="0"/>
    <xf numFmtId="0" fontId="129" fillId="0" borderId="0" applyProtection="0"/>
    <xf numFmtId="0" fontId="247" fillId="0" borderId="45" applyProtection="0"/>
    <xf numFmtId="0" fontId="120" fillId="0" borderId="0" applyProtection="0"/>
    <xf numFmtId="0" fontId="4" fillId="0" borderId="0" applyProtection="0"/>
    <xf numFmtId="0" fontId="129" fillId="0" borderId="0" applyProtection="0"/>
    <xf numFmtId="327" fontId="248" fillId="0" borderId="0" applyNumberFormat="0" applyFont="0" applyFill="0" applyBorder="0" applyAlignment="0">
      <alignment horizontal="centerContinuous"/>
    </xf>
    <xf numFmtId="0" fontId="76" fillId="0" borderId="0">
      <alignment vertical="center" wrapText="1"/>
      <protection locked="0"/>
    </xf>
    <xf numFmtId="0" fontId="247" fillId="0" borderId="46"/>
    <xf numFmtId="0" fontId="247" fillId="0" borderId="46"/>
    <xf numFmtId="0" fontId="120" fillId="0" borderId="0" applyNumberFormat="0" applyFill="0" applyBorder="0" applyAlignment="0" applyProtection="0"/>
    <xf numFmtId="0" fontId="120" fillId="0" borderId="0" applyNumberFormat="0" applyFill="0" applyBorder="0" applyAlignment="0" applyProtection="0"/>
    <xf numFmtId="0" fontId="10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94" fillId="0" borderId="15" applyNumberFormat="0" applyBorder="0" applyAlignment="0"/>
    <xf numFmtId="0" fontId="249" fillId="0" borderId="33" applyNumberFormat="0" applyBorder="0" applyAlignment="0">
      <alignment horizontal="center"/>
    </xf>
    <xf numFmtId="0" fontId="249" fillId="0" borderId="33" applyNumberFormat="0" applyBorder="0" applyAlignment="0">
      <alignment horizontal="center"/>
    </xf>
    <xf numFmtId="3" fontId="250" fillId="0" borderId="16" applyNumberFormat="0" applyBorder="0" applyAlignment="0"/>
    <xf numFmtId="0" fontId="187" fillId="0" borderId="47" applyNumberFormat="0" applyAlignment="0">
      <alignment horizontal="center"/>
    </xf>
    <xf numFmtId="248" fontId="177" fillId="0" borderId="0" applyFont="0" applyFill="0" applyBorder="0" applyAlignment="0" applyProtection="0"/>
    <xf numFmtId="183" fontId="105" fillId="0" borderId="0" applyFont="0" applyFill="0" applyBorder="0" applyAlignment="0" applyProtection="0"/>
    <xf numFmtId="328" fontId="105" fillId="0" borderId="0" applyFont="0" applyFill="0" applyBorder="0" applyAlignment="0" applyProtection="0"/>
    <xf numFmtId="0" fontId="83" fillId="0" borderId="48">
      <alignment horizontal="center"/>
    </xf>
    <xf numFmtId="0" fontId="83" fillId="0" borderId="48">
      <alignment horizontal="center"/>
    </xf>
    <xf numFmtId="322" fontId="120" fillId="0" borderId="0"/>
    <xf numFmtId="329" fontId="120" fillId="0" borderId="2"/>
    <xf numFmtId="329" fontId="120" fillId="0" borderId="2"/>
    <xf numFmtId="0" fontId="251" fillId="0" borderId="0"/>
    <xf numFmtId="0" fontId="251" fillId="0" borderId="0" applyProtection="0"/>
    <xf numFmtId="0" fontId="191" fillId="0" borderId="0"/>
    <xf numFmtId="0" fontId="252" fillId="0" borderId="0"/>
    <xf numFmtId="0" fontId="191" fillId="0" borderId="0"/>
    <xf numFmtId="3" fontId="120" fillId="0" borderId="0" applyNumberFormat="0" applyBorder="0" applyAlignment="0" applyProtection="0">
      <alignment horizontal="centerContinuous"/>
      <protection locked="0"/>
    </xf>
    <xf numFmtId="3" fontId="253" fillId="0" borderId="0">
      <protection locked="0"/>
    </xf>
    <xf numFmtId="3" fontId="93" fillId="0" borderId="0">
      <protection locked="0"/>
    </xf>
    <xf numFmtId="3" fontId="93" fillId="0" borderId="0">
      <protection locked="0"/>
    </xf>
    <xf numFmtId="0" fontId="251" fillId="0" borderId="0"/>
    <xf numFmtId="0" fontId="251" fillId="0" borderId="0" applyProtection="0"/>
    <xf numFmtId="0" fontId="191" fillId="0" borderId="0"/>
    <xf numFmtId="0" fontId="252" fillId="0" borderId="0"/>
    <xf numFmtId="0" fontId="191" fillId="0" borderId="0"/>
    <xf numFmtId="0" fontId="254" fillId="0" borderId="49" applyFill="0" applyBorder="0" applyAlignment="0">
      <alignment horizontal="center"/>
    </xf>
    <xf numFmtId="5" fontId="255" fillId="46" borderId="6">
      <alignment vertical="top"/>
    </xf>
    <xf numFmtId="5" fontId="255" fillId="46" borderId="6">
      <alignment vertical="top"/>
    </xf>
    <xf numFmtId="291" fontId="255" fillId="46" borderId="6">
      <alignment vertical="top"/>
    </xf>
    <xf numFmtId="5"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91" fontId="256"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0" fontId="257" fillId="0" borderId="8">
      <alignment horizontal="left" vertical="center"/>
    </xf>
    <xf numFmtId="0" fontId="258" fillId="47" borderId="2">
      <alignment horizontal="left" vertical="center"/>
    </xf>
    <xf numFmtId="0" fontId="258" fillId="47" borderId="2">
      <alignment horizontal="left" vertical="center"/>
    </xf>
    <xf numFmtId="6" fontId="259" fillId="48" borderId="6"/>
    <xf numFmtId="6" fontId="259" fillId="48" borderId="6"/>
    <xf numFmtId="330" fontId="259" fillId="48" borderId="6"/>
    <xf numFmtId="5" fontId="175" fillId="0" borderId="6">
      <alignment horizontal="left" vertical="top"/>
    </xf>
    <xf numFmtId="5" fontId="175" fillId="0" borderId="6">
      <alignment horizontal="left" vertical="top"/>
    </xf>
    <xf numFmtId="291" fontId="260" fillId="0" borderId="6">
      <alignment horizontal="left" vertical="top"/>
    </xf>
    <xf numFmtId="0" fontId="261" fillId="49" borderId="0">
      <alignment horizontal="left" vertical="center"/>
    </xf>
    <xf numFmtId="0" fontId="4" fillId="0" borderId="0" applyFont="0" applyFill="0" applyBorder="0" applyAlignment="0" applyProtection="0"/>
    <xf numFmtId="0" fontId="4" fillId="0" borderId="0" applyFont="0" applyFill="0" applyBorder="0" applyAlignment="0" applyProtection="0"/>
    <xf numFmtId="331" fontId="4" fillId="0" borderId="0" applyFont="0" applyFill="0" applyBorder="0" applyAlignment="0" applyProtection="0"/>
    <xf numFmtId="332" fontId="4" fillId="0" borderId="0" applyFont="0" applyFill="0" applyBorder="0" applyAlignment="0" applyProtection="0"/>
    <xf numFmtId="42" fontId="146" fillId="0" borderId="0" applyFont="0" applyFill="0" applyBorder="0" applyAlignment="0" applyProtection="0"/>
    <xf numFmtId="44" fontId="146" fillId="0" borderId="0" applyFont="0" applyFill="0" applyBorder="0" applyAlignment="0" applyProtection="0"/>
    <xf numFmtId="0" fontId="262" fillId="0" borderId="0" applyNumberFormat="0" applyFill="0" applyBorder="0" applyAlignment="0" applyProtection="0"/>
    <xf numFmtId="0" fontId="263"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264" fillId="0" borderId="50" applyNumberFormat="0" applyFont="0" applyAlignment="0">
      <alignment horizontal="center"/>
    </xf>
    <xf numFmtId="0" fontId="265" fillId="0" borderId="0" applyNumberFormat="0" applyFill="0" applyBorder="0" applyAlignment="0" applyProtection="0"/>
    <xf numFmtId="0" fontId="110" fillId="0" borderId="51" applyFont="0" applyBorder="0" applyAlignment="0">
      <alignment horizontal="center"/>
    </xf>
    <xf numFmtId="0" fontId="110" fillId="0" borderId="51" applyFont="0" applyBorder="0" applyAlignment="0">
      <alignment horizontal="center"/>
    </xf>
    <xf numFmtId="170" fontId="48" fillId="0" borderId="0" applyFont="0" applyFill="0" applyBorder="0" applyAlignment="0" applyProtection="0"/>
    <xf numFmtId="42" fontId="266" fillId="0" borderId="0" applyFont="0" applyFill="0" applyBorder="0" applyAlignment="0" applyProtection="0"/>
    <xf numFmtId="44" fontId="266" fillId="0" borderId="0" applyFont="0" applyFill="0" applyBorder="0" applyAlignment="0" applyProtection="0"/>
    <xf numFmtId="0" fontId="266" fillId="0" borderId="0"/>
    <xf numFmtId="0" fontId="267" fillId="0" borderId="0" applyFont="0" applyFill="0" applyBorder="0" applyAlignment="0" applyProtection="0"/>
    <xf numFmtId="0" fontId="267" fillId="0" borderId="0" applyFont="0" applyFill="0" applyBorder="0" applyAlignment="0" applyProtection="0"/>
    <xf numFmtId="0" fontId="38" fillId="0" borderId="0">
      <alignment vertical="center"/>
    </xf>
    <xf numFmtId="40" fontId="268" fillId="0" borderId="0" applyFont="0" applyFill="0" applyBorder="0" applyAlignment="0" applyProtection="0"/>
    <xf numFmtId="38" fontId="268" fillId="0" borderId="0" applyFont="0" applyFill="0" applyBorder="0" applyAlignment="0" applyProtection="0"/>
    <xf numFmtId="0" fontId="268" fillId="0" borderId="0" applyFont="0" applyFill="0" applyBorder="0" applyAlignment="0" applyProtection="0"/>
    <xf numFmtId="0" fontId="268" fillId="0" borderId="0" applyFont="0" applyFill="0" applyBorder="0" applyAlignment="0" applyProtection="0"/>
    <xf numFmtId="9" fontId="269" fillId="0" borderId="0" applyBorder="0" applyAlignment="0" applyProtection="0"/>
    <xf numFmtId="0" fontId="270" fillId="0" borderId="0"/>
    <xf numFmtId="0" fontId="271" fillId="0" borderId="18"/>
    <xf numFmtId="191" fontId="6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94" fillId="0" borderId="0" applyFont="0" applyFill="0" applyBorder="0" applyAlignment="0" applyProtection="0"/>
    <xf numFmtId="0" fontId="194" fillId="0" borderId="0" applyFont="0" applyFill="0" applyBorder="0" applyAlignment="0" applyProtection="0"/>
    <xf numFmtId="183" fontId="4" fillId="0" borderId="0" applyFont="0" applyFill="0" applyBorder="0" applyAlignment="0" applyProtection="0"/>
    <xf numFmtId="225" fontId="4" fillId="0" borderId="0" applyFont="0" applyFill="0" applyBorder="0" applyAlignment="0" applyProtection="0"/>
    <xf numFmtId="0" fontId="194" fillId="0" borderId="0"/>
    <xf numFmtId="0" fontId="194" fillId="0" borderId="0"/>
    <xf numFmtId="0" fontId="272" fillId="0" borderId="0"/>
    <xf numFmtId="0" fontId="91" fillId="0" borderId="0"/>
    <xf numFmtId="170" fontId="70" fillId="0" borderId="0" applyFont="0" applyFill="0" applyBorder="0" applyAlignment="0" applyProtection="0"/>
    <xf numFmtId="171" fontId="70"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188" fontId="70" fillId="0" borderId="0" applyFont="0" applyFill="0" applyBorder="0" applyAlignment="0" applyProtection="0"/>
    <xf numFmtId="333" fontId="79" fillId="0" borderId="0" applyFont="0" applyFill="0" applyBorder="0" applyAlignment="0" applyProtection="0"/>
    <xf numFmtId="334" fontId="70"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2" fillId="0" borderId="0"/>
    <xf numFmtId="0" fontId="2" fillId="0" borderId="0"/>
    <xf numFmtId="166" fontId="6" fillId="0" borderId="0" applyFont="0" applyFill="0" applyBorder="0" applyAlignment="0" applyProtection="0"/>
    <xf numFmtId="0" fontId="105" fillId="0" borderId="0"/>
    <xf numFmtId="0" fontId="67" fillId="0" borderId="0"/>
    <xf numFmtId="0" fontId="84" fillId="0" borderId="0"/>
    <xf numFmtId="43" fontId="42" fillId="0" borderId="0" applyFon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0" fontId="195" fillId="0" borderId="0"/>
    <xf numFmtId="0" fontId="196" fillId="0" borderId="0"/>
    <xf numFmtId="0" fontId="6" fillId="0" borderId="0"/>
    <xf numFmtId="0" fontId="121" fillId="0" borderId="0"/>
    <xf numFmtId="0" fontId="4" fillId="0" borderId="0"/>
    <xf numFmtId="0" fontId="284" fillId="0" borderId="0"/>
    <xf numFmtId="0" fontId="298" fillId="0" borderId="0"/>
    <xf numFmtId="0" fontId="105" fillId="0" borderId="0"/>
    <xf numFmtId="0" fontId="4" fillId="0" borderId="0"/>
    <xf numFmtId="0" fontId="105" fillId="0" borderId="0"/>
    <xf numFmtId="183" fontId="66" fillId="0" borderId="0" applyFont="0" applyFill="0" applyBorder="0" applyAlignment="0" applyProtection="0"/>
    <xf numFmtId="0" fontId="67" fillId="0" borderId="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302" fillId="51" borderId="0" applyNumberFormat="0" applyBorder="0" applyAlignment="0" applyProtection="0"/>
    <xf numFmtId="0" fontId="38" fillId="0" borderId="0"/>
    <xf numFmtId="213" fontId="48" fillId="0" borderId="0" applyFill="0" applyBorder="0" applyAlignment="0"/>
    <xf numFmtId="166" fontId="4"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0" fontId="70" fillId="0" borderId="0" applyFont="0" applyFill="0" applyBorder="0" applyAlignment="0" applyProtection="0"/>
    <xf numFmtId="176" fontId="70" fillId="0" borderId="0" applyFont="0" applyFill="0" applyBorder="0" applyAlignment="0" applyProtection="0"/>
    <xf numFmtId="164" fontId="299" fillId="0" borderId="0" applyFont="0" applyFill="0" applyBorder="0" applyAlignment="0" applyProtection="0"/>
    <xf numFmtId="164" fontId="28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1" fontId="4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1"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9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4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136" fillId="0" borderId="0" applyFont="0" applyFill="0" applyBorder="0" applyAlignment="0" applyProtection="0"/>
    <xf numFmtId="172" fontId="4" fillId="0" borderId="0" applyFont="0" applyFill="0" applyBorder="0" applyAlignment="0" applyProtection="0"/>
    <xf numFmtId="166" fontId="4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72"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70" fontId="70"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21"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21" fillId="0" borderId="0" applyFont="0" applyFill="0" applyBorder="0" applyAlignment="0" applyProtection="0"/>
    <xf numFmtId="166" fontId="121" fillId="0" borderId="0" applyFont="0" applyFill="0" applyBorder="0" applyAlignment="0" applyProtection="0"/>
    <xf numFmtId="166" fontId="1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5"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42" fillId="0" borderId="0" applyFont="0" applyFill="0" applyBorder="0" applyAlignment="0" applyProtection="0"/>
    <xf numFmtId="166" fontId="299" fillId="0" borderId="0" applyFont="0" applyFill="0" applyBorder="0" applyAlignment="0" applyProtection="0"/>
    <xf numFmtId="166" fontId="48" fillId="0" borderId="0" applyFont="0" applyFill="0" applyBorder="0" applyAlignment="0" applyProtection="0"/>
    <xf numFmtId="166" fontId="299" fillId="0" borderId="0" applyFont="0" applyFill="0" applyBorder="0" applyAlignment="0" applyProtection="0"/>
    <xf numFmtId="166" fontId="42" fillId="0" borderId="0" applyFont="0" applyFill="0" applyBorder="0" applyAlignment="0" applyProtection="0"/>
    <xf numFmtId="251" fontId="38" fillId="0" borderId="0" applyFont="0" applyFill="0" applyBorder="0" applyAlignment="0" applyProtection="0"/>
    <xf numFmtId="166" fontId="4" fillId="0" borderId="0" applyFont="0" applyFill="0" applyBorder="0" applyAlignment="0" applyProtection="0"/>
    <xf numFmtId="171"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71" fontId="4"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4"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29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1" fontId="70"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28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37" fillId="0" borderId="0" applyFont="0" applyFill="0" applyBorder="0" applyAlignment="0" applyProtection="0"/>
    <xf numFmtId="166" fontId="303" fillId="0" borderId="0" applyFont="0" applyFill="0" applyBorder="0" applyAlignment="0" applyProtection="0"/>
    <xf numFmtId="166" fontId="303" fillId="0" borderId="0" applyFont="0" applyFill="0" applyBorder="0" applyAlignment="0" applyProtection="0"/>
    <xf numFmtId="166" fontId="30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5" fillId="0" borderId="0" applyFont="0" applyFill="0" applyBorder="0" applyAlignment="0" applyProtection="0"/>
    <xf numFmtId="166" fontId="4" fillId="0" borderId="0" applyFont="0" applyFill="0" applyBorder="0" applyAlignment="0" applyProtection="0"/>
    <xf numFmtId="225" fontId="42" fillId="0" borderId="0" applyFont="0" applyFill="0" applyBorder="0" applyAlignment="0" applyProtection="0"/>
    <xf numFmtId="225" fontId="42" fillId="0" borderId="0" applyFont="0" applyFill="0" applyBorder="0" applyAlignment="0" applyProtection="0"/>
    <xf numFmtId="175" fontId="42"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44" fontId="42" fillId="0" borderId="0" applyFont="0" applyFill="0" applyBorder="0" applyAlignment="0" applyProtection="0"/>
    <xf numFmtId="165" fontId="195"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0" fontId="304" fillId="50" borderId="0" applyNumberFormat="0" applyBorder="0" applyAlignment="0" applyProtection="0"/>
    <xf numFmtId="0" fontId="173" fillId="0" borderId="0" applyNumberFormat="0" applyFill="0" applyBorder="0" applyAlignment="0" applyProtection="0"/>
    <xf numFmtId="0" fontId="83" fillId="0" borderId="0" applyNumberFormat="0" applyFill="0" applyBorder="0" applyAlignment="0" applyProtection="0"/>
    <xf numFmtId="164" fontId="73" fillId="0" borderId="0" applyFont="0" applyFill="0" applyBorder="0" applyAlignment="0" applyProtection="0"/>
    <xf numFmtId="0" fontId="301" fillId="0" borderId="0"/>
    <xf numFmtId="0" fontId="67" fillId="0" borderId="0"/>
    <xf numFmtId="0" fontId="305" fillId="52" borderId="0" applyNumberFormat="0" applyBorder="0" applyAlignment="0" applyProtection="0"/>
    <xf numFmtId="0" fontId="4" fillId="0" borderId="0"/>
    <xf numFmtId="298" fontId="191" fillId="0" borderId="0"/>
    <xf numFmtId="0" fontId="4" fillId="0" borderId="0"/>
    <xf numFmtId="338" fontId="193" fillId="0" borderId="0"/>
    <xf numFmtId="0" fontId="297" fillId="0" borderId="0"/>
    <xf numFmtId="0" fontId="195" fillId="0" borderId="0"/>
    <xf numFmtId="0" fontId="94" fillId="0" borderId="0"/>
    <xf numFmtId="0" fontId="4" fillId="0" borderId="0"/>
    <xf numFmtId="0" fontId="197" fillId="0" borderId="0"/>
    <xf numFmtId="0" fontId="197" fillId="0" borderId="0"/>
    <xf numFmtId="0" fontId="4" fillId="0" borderId="0"/>
    <xf numFmtId="0" fontId="70" fillId="0" borderId="0"/>
    <xf numFmtId="0" fontId="42" fillId="0" borderId="0"/>
    <xf numFmtId="0" fontId="70" fillId="0" borderId="0"/>
    <xf numFmtId="0" fontId="4" fillId="0" borderId="0"/>
    <xf numFmtId="0" fontId="195" fillId="0" borderId="0"/>
    <xf numFmtId="0" fontId="195" fillId="0" borderId="0"/>
    <xf numFmtId="0" fontId="198" fillId="0" borderId="0"/>
    <xf numFmtId="0" fontId="4" fillId="0" borderId="0"/>
    <xf numFmtId="0" fontId="42" fillId="0" borderId="0"/>
    <xf numFmtId="0" fontId="42" fillId="0" borderId="0"/>
    <xf numFmtId="0" fontId="72" fillId="0" borderId="0"/>
    <xf numFmtId="0" fontId="42" fillId="0" borderId="0"/>
    <xf numFmtId="0" fontId="42" fillId="0" borderId="0"/>
    <xf numFmtId="0" fontId="38" fillId="0" borderId="0"/>
    <xf numFmtId="0" fontId="42" fillId="0" borderId="0"/>
    <xf numFmtId="0" fontId="195" fillId="0" borderId="0"/>
    <xf numFmtId="0" fontId="6" fillId="0" borderId="0"/>
    <xf numFmtId="0" fontId="198" fillId="0" borderId="0"/>
    <xf numFmtId="0" fontId="198"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6"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4" fillId="0" borderId="0"/>
    <xf numFmtId="0" fontId="198" fillId="0" borderId="0"/>
    <xf numFmtId="0" fontId="4" fillId="0" borderId="0"/>
    <xf numFmtId="0" fontId="42" fillId="0" borderId="0"/>
    <xf numFmtId="0" fontId="42" fillId="0" borderId="0"/>
    <xf numFmtId="0" fontId="42" fillId="0" borderId="0"/>
    <xf numFmtId="0" fontId="42" fillId="0" borderId="0"/>
    <xf numFmtId="0" fontId="4" fillId="0" borderId="0"/>
    <xf numFmtId="0" fontId="121" fillId="0" borderId="0"/>
    <xf numFmtId="0" fontId="121" fillId="0" borderId="0"/>
    <xf numFmtId="0" fontId="4" fillId="0" borderId="0"/>
    <xf numFmtId="0" fontId="42" fillId="0" borderId="0"/>
    <xf numFmtId="0" fontId="42" fillId="0" borderId="0"/>
    <xf numFmtId="0" fontId="4" fillId="0" borderId="0"/>
    <xf numFmtId="0" fontId="105" fillId="0" borderId="0"/>
    <xf numFmtId="0" fontId="105" fillId="0" borderId="0"/>
    <xf numFmtId="0" fontId="105" fillId="0" borderId="0"/>
    <xf numFmtId="0" fontId="4" fillId="0" borderId="0"/>
    <xf numFmtId="0" fontId="196" fillId="0" borderId="0"/>
    <xf numFmtId="0" fontId="4" fillId="0" borderId="0"/>
    <xf numFmtId="0" fontId="196" fillId="0" borderId="0"/>
    <xf numFmtId="0" fontId="195" fillId="0" borderId="0"/>
    <xf numFmtId="0" fontId="42" fillId="0" borderId="0"/>
    <xf numFmtId="0" fontId="42"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97" fillId="0" borderId="0"/>
    <xf numFmtId="0" fontId="297" fillId="0" borderId="0"/>
    <xf numFmtId="0" fontId="48" fillId="0" borderId="0"/>
    <xf numFmtId="0" fontId="297" fillId="0" borderId="0"/>
    <xf numFmtId="0" fontId="4" fillId="0" borderId="0"/>
    <xf numFmtId="0" fontId="4" fillId="0" borderId="0"/>
    <xf numFmtId="0" fontId="105" fillId="0" borderId="0"/>
    <xf numFmtId="0" fontId="4"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38" fillId="0" borderId="0"/>
    <xf numFmtId="0" fontId="297" fillId="0" borderId="0"/>
    <xf numFmtId="0" fontId="38" fillId="0" borderId="0"/>
    <xf numFmtId="0" fontId="105" fillId="0" borderId="0"/>
    <xf numFmtId="0" fontId="38" fillId="0" borderId="0"/>
    <xf numFmtId="0" fontId="38" fillId="0" borderId="0"/>
    <xf numFmtId="0" fontId="297" fillId="0" borderId="0"/>
    <xf numFmtId="0" fontId="297" fillId="0" borderId="0"/>
    <xf numFmtId="0" fontId="297" fillId="0" borderId="0"/>
    <xf numFmtId="0" fontId="297" fillId="0" borderId="0"/>
    <xf numFmtId="0" fontId="297" fillId="0" borderId="0"/>
    <xf numFmtId="0" fontId="38" fillId="0" borderId="0"/>
    <xf numFmtId="0" fontId="297" fillId="0" borderId="0"/>
    <xf numFmtId="0" fontId="297" fillId="0" borderId="0"/>
    <xf numFmtId="0" fontId="297" fillId="0" borderId="0"/>
    <xf numFmtId="0" fontId="66" fillId="0" borderId="0"/>
    <xf numFmtId="0" fontId="32" fillId="0" borderId="0"/>
    <xf numFmtId="0" fontId="49" fillId="0" borderId="0" applyNumberFormat="0" applyFill="0" applyBorder="0" applyProtection="0">
      <alignment vertical="top"/>
    </xf>
    <xf numFmtId="0" fontId="297" fillId="0" borderId="0"/>
    <xf numFmtId="0" fontId="297" fillId="0" borderId="0"/>
    <xf numFmtId="0" fontId="297" fillId="0" borderId="0"/>
    <xf numFmtId="0" fontId="297" fillId="0" borderId="0"/>
    <xf numFmtId="0" fontId="297" fillId="0" borderId="0"/>
    <xf numFmtId="0" fontId="297" fillId="0" borderId="0"/>
    <xf numFmtId="0" fontId="4" fillId="0" borderId="0"/>
    <xf numFmtId="0" fontId="4" fillId="0" borderId="0"/>
    <xf numFmtId="0" fontId="4" fillId="0" borderId="0"/>
    <xf numFmtId="0" fontId="4" fillId="0" borderId="0"/>
    <xf numFmtId="0" fontId="48" fillId="0" borderId="0"/>
    <xf numFmtId="0" fontId="282" fillId="0" borderId="0"/>
    <xf numFmtId="0" fontId="42" fillId="0" borderId="0"/>
    <xf numFmtId="0" fontId="48"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00" fillId="0" borderId="0"/>
    <xf numFmtId="0" fontId="200" fillId="0" borderId="0"/>
    <xf numFmtId="0" fontId="200" fillId="0" borderId="0"/>
    <xf numFmtId="0" fontId="4" fillId="0" borderId="0"/>
    <xf numFmtId="0" fontId="42" fillId="0" borderId="0"/>
    <xf numFmtId="0" fontId="42" fillId="0" borderId="0"/>
    <xf numFmtId="0" fontId="42" fillId="0" borderId="0"/>
    <xf numFmtId="0" fontId="4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5" fillId="0" borderId="0"/>
    <xf numFmtId="0" fontId="4" fillId="0" borderId="0"/>
    <xf numFmtId="0" fontId="4" fillId="0" borderId="0"/>
    <xf numFmtId="0" fontId="306" fillId="0" borderId="0"/>
    <xf numFmtId="164" fontId="10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195"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5" fillId="0" borderId="0" applyFont="0" applyFill="0" applyBorder="0" applyAlignment="0" applyProtection="0"/>
    <xf numFmtId="164" fontId="73" fillId="0" borderId="0" applyFont="0" applyFill="0" applyBorder="0" applyAlignment="0" applyProtection="0"/>
    <xf numFmtId="0" fontId="84" fillId="0" borderId="0"/>
    <xf numFmtId="0" fontId="84" fillId="0" borderId="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4" fontId="300" fillId="0" borderId="0"/>
    <xf numFmtId="0" fontId="4" fillId="0" borderId="19" applyNumberFormat="0" applyFont="0" applyFill="0" applyAlignment="0" applyProtection="0"/>
    <xf numFmtId="166" fontId="6" fillId="0" borderId="0" applyFont="0" applyFill="0" applyBorder="0" applyAlignment="0" applyProtection="0"/>
    <xf numFmtId="0" fontId="105" fillId="0" borderId="0"/>
  </cellStyleXfs>
  <cellXfs count="806">
    <xf numFmtId="0" fontId="0" fillId="0" borderId="0" xfId="0"/>
    <xf numFmtId="0" fontId="7" fillId="0" borderId="0" xfId="0" applyFont="1" applyAlignment="1">
      <alignment vertical="center" wrapText="1"/>
    </xf>
    <xf numFmtId="0" fontId="8" fillId="0" borderId="0" xfId="0" applyFont="1" applyAlignment="1">
      <alignment vertical="center" wrapText="1" readingOrder="1"/>
    </xf>
    <xf numFmtId="1" fontId="9" fillId="0" borderId="0" xfId="1" applyNumberFormat="1" applyFont="1" applyFill="1" applyAlignment="1">
      <alignment horizontal="right" vertical="center"/>
    </xf>
    <xf numFmtId="0" fontId="10" fillId="0" borderId="0" xfId="0" applyFont="1" applyAlignment="1">
      <alignment vertical="center" wrapText="1" readingOrder="1"/>
    </xf>
    <xf numFmtId="0" fontId="11"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1" fontId="9" fillId="0" borderId="0" xfId="1" applyNumberFormat="1" applyFont="1" applyFill="1" applyAlignment="1">
      <alignment vertical="center"/>
    </xf>
    <xf numFmtId="1" fontId="16" fillId="0" borderId="0" xfId="1" applyNumberFormat="1" applyFont="1" applyFill="1" applyAlignment="1">
      <alignment vertical="center"/>
    </xf>
    <xf numFmtId="1" fontId="19" fillId="0" borderId="0" xfId="1" applyNumberFormat="1" applyFont="1" applyFill="1" applyAlignment="1">
      <alignment vertical="center"/>
    </xf>
    <xf numFmtId="3" fontId="9"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9" fillId="0" borderId="2" xfId="1" quotePrefix="1" applyNumberFormat="1" applyFont="1" applyFill="1" applyBorder="1" applyAlignment="1">
      <alignment horizontal="center" vertical="center" wrapText="1"/>
    </xf>
    <xf numFmtId="3" fontId="9" fillId="0" borderId="0" xfId="1" applyNumberFormat="1" applyFont="1" applyFill="1" applyBorder="1" applyAlignment="1">
      <alignment vertical="center" wrapText="1"/>
    </xf>
    <xf numFmtId="3" fontId="17" fillId="0" borderId="2" xfId="1" applyNumberFormat="1" applyFont="1" applyFill="1" applyBorder="1" applyAlignment="1">
      <alignment horizontal="center" vertical="center" wrapText="1"/>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horizontal="left" vertical="center" wrapText="1"/>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0" xfId="1" applyNumberFormat="1" applyFont="1" applyFill="1" applyAlignment="1">
      <alignment vertical="center"/>
    </xf>
    <xf numFmtId="1" fontId="17" fillId="0" borderId="2" xfId="1" applyNumberFormat="1" applyFont="1" applyFill="1" applyBorder="1" applyAlignment="1">
      <alignment vertical="center" wrapText="1"/>
    </xf>
    <xf numFmtId="49" fontId="15" fillId="0" borderId="2" xfId="1" applyNumberFormat="1" applyFont="1" applyFill="1" applyBorder="1" applyAlignment="1">
      <alignment horizontal="center" vertical="center"/>
    </xf>
    <xf numFmtId="1" fontId="15" fillId="0" borderId="2" xfId="1" applyNumberFormat="1" applyFont="1" applyFill="1" applyBorder="1" applyAlignment="1">
      <alignment vertical="center" wrapText="1"/>
    </xf>
    <xf numFmtId="49" fontId="9" fillId="0" borderId="2" xfId="1" applyNumberFormat="1" applyFont="1" applyFill="1" applyBorder="1" applyAlignment="1">
      <alignment horizontal="center" vertical="center"/>
    </xf>
    <xf numFmtId="1" fontId="9" fillId="0" borderId="2" xfId="1" applyNumberFormat="1" applyFont="1" applyFill="1" applyBorder="1" applyAlignment="1">
      <alignment vertical="center" wrapText="1"/>
    </xf>
    <xf numFmtId="1" fontId="9" fillId="0" borderId="2" xfId="1" quotePrefix="1" applyNumberFormat="1" applyFont="1" applyFill="1" applyBorder="1" applyAlignment="1">
      <alignment vertical="center" wrapText="1"/>
    </xf>
    <xf numFmtId="1" fontId="9" fillId="0" borderId="2" xfId="1" applyNumberFormat="1" applyFont="1" applyFill="1" applyBorder="1" applyAlignment="1">
      <alignment horizontal="center" vertical="center"/>
    </xf>
    <xf numFmtId="1" fontId="9" fillId="0" borderId="2" xfId="1" applyNumberFormat="1" applyFont="1" applyFill="1" applyBorder="1" applyAlignment="1">
      <alignment horizontal="center" vertical="center" wrapText="1"/>
    </xf>
    <xf numFmtId="1" fontId="9" fillId="0" borderId="2" xfId="1" applyNumberFormat="1" applyFont="1" applyFill="1" applyBorder="1" applyAlignment="1">
      <alignment horizontal="right" vertical="center"/>
    </xf>
    <xf numFmtId="1"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center" vertical="center" wrapText="1"/>
    </xf>
    <xf numFmtId="1" fontId="9" fillId="0" borderId="0" xfId="1" applyNumberFormat="1" applyFont="1" applyFill="1" applyBorder="1" applyAlignment="1">
      <alignment horizontal="right" vertical="center"/>
    </xf>
    <xf numFmtId="1" fontId="9" fillId="0" borderId="0" xfId="1" applyNumberFormat="1" applyFont="1" applyFill="1" applyAlignment="1">
      <alignment horizontal="center" vertical="center"/>
    </xf>
    <xf numFmtId="1" fontId="9" fillId="0" borderId="0" xfId="1" applyNumberFormat="1" applyFont="1" applyFill="1" applyAlignment="1">
      <alignment vertical="center" wrapText="1"/>
    </xf>
    <xf numFmtId="1" fontId="9" fillId="0" borderId="0" xfId="1" applyNumberFormat="1" applyFont="1" applyFill="1" applyAlignment="1">
      <alignment horizontal="left" vertical="center" wrapText="1"/>
    </xf>
    <xf numFmtId="0" fontId="21" fillId="0" borderId="0" xfId="0" applyFont="1" applyAlignment="1">
      <alignment vertical="center"/>
    </xf>
    <xf numFmtId="1" fontId="9" fillId="0" borderId="0" xfId="1" applyNumberFormat="1" applyFont="1" applyFill="1" applyAlignment="1">
      <alignment horizontal="center" vertical="center" wrapText="1"/>
    </xf>
    <xf numFmtId="3" fontId="9" fillId="0" borderId="2" xfId="1" applyNumberFormat="1" applyFont="1" applyFill="1" applyBorder="1" applyAlignment="1">
      <alignment horizontal="center" vertical="center" wrapText="1"/>
    </xf>
    <xf numFmtId="3" fontId="17" fillId="0" borderId="2" xfId="1" quotePrefix="1" applyNumberFormat="1" applyFont="1" applyFill="1" applyBorder="1" applyAlignment="1">
      <alignment horizontal="center" vertical="center" wrapText="1"/>
    </xf>
    <xf numFmtId="3" fontId="17" fillId="0" borderId="0" xfId="1" applyNumberFormat="1" applyFont="1" applyFill="1" applyBorder="1" applyAlignment="1">
      <alignment vertical="center" wrapText="1"/>
    </xf>
    <xf numFmtId="1" fontId="9" fillId="0" borderId="2" xfId="1" applyNumberFormat="1" applyFont="1" applyFill="1" applyBorder="1" applyAlignment="1">
      <alignment vertical="center"/>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15" fillId="0" borderId="0" xfId="1" applyNumberFormat="1" applyFont="1" applyFill="1" applyAlignment="1">
      <alignment vertical="center"/>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26" fillId="0" borderId="0" xfId="1" applyNumberFormat="1" applyFont="1" applyFill="1" applyAlignment="1">
      <alignment vertical="center"/>
    </xf>
    <xf numFmtId="1" fontId="22" fillId="0" borderId="0" xfId="1" applyNumberFormat="1" applyFont="1" applyFill="1" applyAlignment="1">
      <alignment vertical="center"/>
    </xf>
    <xf numFmtId="0" fontId="8" fillId="0" borderId="0" xfId="0" applyFont="1" applyAlignment="1">
      <alignment vertical="center" readingOrder="1"/>
    </xf>
    <xf numFmtId="1" fontId="23" fillId="0" borderId="0" xfId="1" applyNumberFormat="1" applyFont="1" applyFill="1" applyAlignment="1">
      <alignment horizontal="right" vertical="center"/>
    </xf>
    <xf numFmtId="0" fontId="10" fillId="0" borderId="0" xfId="0" applyFont="1" applyAlignment="1">
      <alignment vertical="center" readingOrder="1"/>
    </xf>
    <xf numFmtId="1" fontId="9"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6" fillId="0" borderId="0"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16" fillId="0" borderId="0" xfId="1" applyNumberFormat="1" applyFont="1" applyFill="1" applyBorder="1" applyAlignment="1">
      <alignment horizontal="center" vertical="center"/>
    </xf>
    <xf numFmtId="0" fontId="16" fillId="0" borderId="0" xfId="1" applyNumberFormat="1" applyFont="1" applyFill="1" applyAlignment="1">
      <alignment vertical="center"/>
    </xf>
    <xf numFmtId="1" fontId="16" fillId="0" borderId="0"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7" fillId="0" borderId="0" xfId="0" applyFont="1" applyBorder="1" applyAlignment="1">
      <alignment horizontal="center" vertical="center" wrapText="1"/>
    </xf>
    <xf numFmtId="0" fontId="12" fillId="0" borderId="0" xfId="0" applyFont="1" applyBorder="1" applyAlignment="1">
      <alignment vertical="center" wrapText="1"/>
    </xf>
    <xf numFmtId="49" fontId="11" fillId="0" borderId="2" xfId="0" applyNumberFormat="1" applyFont="1" applyBorder="1" applyAlignment="1">
      <alignment horizontal="left" vertical="center" wrapText="1"/>
    </xf>
    <xf numFmtId="0" fontId="11" fillId="0" borderId="0" xfId="0" applyFont="1" applyBorder="1" applyAlignment="1">
      <alignment vertical="center" wrapText="1"/>
    </xf>
    <xf numFmtId="0" fontId="7" fillId="0" borderId="2" xfId="0" applyFont="1" applyBorder="1" applyAlignment="1">
      <alignment horizontal="left" vertical="center" wrapText="1"/>
    </xf>
    <xf numFmtId="0" fontId="12" fillId="0" borderId="0" xfId="0" applyFont="1" applyFill="1" applyAlignment="1">
      <alignment vertical="center" wrapText="1"/>
    </xf>
    <xf numFmtId="0" fontId="7" fillId="0" borderId="0" xfId="0" applyFont="1" applyAlignment="1">
      <alignment horizontal="left" vertical="center" wrapText="1"/>
    </xf>
    <xf numFmtId="1" fontId="32" fillId="0" borderId="0" xfId="1" applyNumberFormat="1" applyFont="1" applyFill="1" applyAlignment="1">
      <alignment horizontal="right" vertical="center"/>
    </xf>
    <xf numFmtId="1" fontId="32" fillId="0" borderId="0" xfId="1" applyNumberFormat="1" applyFont="1" applyFill="1" applyAlignment="1">
      <alignment vertical="center"/>
    </xf>
    <xf numFmtId="1" fontId="33" fillId="0" borderId="0" xfId="1" applyNumberFormat="1" applyFont="1" applyFill="1" applyAlignment="1">
      <alignment vertical="center"/>
    </xf>
    <xf numFmtId="1" fontId="5" fillId="0" borderId="0" xfId="1" applyNumberFormat="1" applyFont="1" applyFill="1" applyAlignment="1">
      <alignment vertical="center"/>
    </xf>
    <xf numFmtId="1" fontId="35" fillId="0" borderId="0" xfId="1" applyNumberFormat="1" applyFont="1" applyFill="1" applyAlignment="1">
      <alignment vertical="center"/>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vertical="center"/>
    </xf>
    <xf numFmtId="1" fontId="36" fillId="0" borderId="1" xfId="1" applyNumberFormat="1" applyFont="1" applyFill="1" applyBorder="1" applyAlignment="1">
      <alignment horizontal="right" vertical="center"/>
    </xf>
    <xf numFmtId="1" fontId="37" fillId="0" borderId="0" xfId="1" applyNumberFormat="1" applyFont="1" applyFill="1" applyAlignment="1">
      <alignment vertical="center"/>
    </xf>
    <xf numFmtId="1" fontId="39" fillId="0" borderId="0" xfId="1" applyNumberFormat="1" applyFont="1" applyFill="1" applyAlignment="1">
      <alignment horizontal="center" vertical="center"/>
    </xf>
    <xf numFmtId="3" fontId="40" fillId="0" borderId="0" xfId="1" applyNumberFormat="1" applyFont="1" applyBorder="1" applyAlignment="1">
      <alignment horizontal="center" vertical="center" wrapText="1"/>
    </xf>
    <xf numFmtId="3" fontId="26" fillId="0" borderId="2" xfId="1" applyNumberFormat="1" applyFont="1" applyFill="1" applyBorder="1" applyAlignment="1">
      <alignment horizontal="center" vertical="center" wrapText="1"/>
    </xf>
    <xf numFmtId="3" fontId="38" fillId="0" borderId="6" xfId="1" applyNumberFormat="1" applyFont="1" applyFill="1" applyBorder="1" applyAlignment="1">
      <alignment horizontal="center" vertical="center" wrapText="1"/>
    </xf>
    <xf numFmtId="3" fontId="26" fillId="0" borderId="2" xfId="1" applyNumberFormat="1" applyFont="1" applyFill="1" applyBorder="1" applyAlignment="1">
      <alignment vertical="center" wrapText="1"/>
    </xf>
    <xf numFmtId="3" fontId="38" fillId="0" borderId="2" xfId="1" applyNumberFormat="1" applyFont="1" applyBorder="1" applyAlignment="1">
      <alignment horizontal="center" vertical="center" wrapText="1"/>
    </xf>
    <xf numFmtId="3" fontId="26" fillId="0" borderId="2" xfId="1" applyNumberFormat="1" applyFont="1" applyBorder="1" applyAlignment="1">
      <alignment horizontal="center" vertical="center" wrapText="1"/>
    </xf>
    <xf numFmtId="3" fontId="38" fillId="0" borderId="2" xfId="1" quotePrefix="1" applyNumberFormat="1" applyFont="1" applyFill="1" applyBorder="1" applyAlignment="1">
      <alignment horizontal="center" vertical="center" wrapText="1"/>
    </xf>
    <xf numFmtId="3" fontId="40" fillId="0" borderId="0"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xf>
    <xf numFmtId="1" fontId="41"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right" vertical="center"/>
    </xf>
    <xf numFmtId="3" fontId="9" fillId="0" borderId="2" xfId="3" applyNumberFormat="1" applyFont="1" applyFill="1" applyBorder="1" applyAlignment="1">
      <alignment horizontal="center" vertical="center" wrapText="1"/>
    </xf>
    <xf numFmtId="1" fontId="41" fillId="0" borderId="2" xfId="1" applyNumberFormat="1" applyFont="1" applyFill="1" applyBorder="1" applyAlignment="1">
      <alignment horizontal="center" vertical="center"/>
    </xf>
    <xf numFmtId="1" fontId="41" fillId="0" borderId="2" xfId="1" applyNumberFormat="1" applyFont="1" applyFill="1" applyBorder="1" applyAlignment="1">
      <alignment vertical="center" wrapText="1"/>
    </xf>
    <xf numFmtId="1" fontId="41" fillId="0" borderId="2" xfId="1" applyNumberFormat="1" applyFont="1" applyFill="1" applyBorder="1" applyAlignment="1">
      <alignment horizontal="right" vertical="center"/>
    </xf>
    <xf numFmtId="1" fontId="43" fillId="0" borderId="0" xfId="1" applyNumberFormat="1" applyFont="1" applyFill="1" applyAlignment="1">
      <alignment vertical="center"/>
    </xf>
    <xf numFmtId="49" fontId="41" fillId="0" borderId="2" xfId="1" applyNumberFormat="1" applyFont="1" applyFill="1" applyBorder="1" applyAlignment="1">
      <alignment horizontal="center" vertical="center"/>
    </xf>
    <xf numFmtId="49" fontId="38" fillId="0" borderId="2" xfId="1" applyNumberFormat="1" applyFont="1" applyFill="1" applyBorder="1" applyAlignment="1">
      <alignment horizontal="center" vertical="center"/>
    </xf>
    <xf numFmtId="1" fontId="38" fillId="0" borderId="2" xfId="1" quotePrefix="1" applyNumberFormat="1" applyFont="1" applyFill="1" applyBorder="1" applyAlignment="1">
      <alignment vertical="center" wrapText="1"/>
    </xf>
    <xf numFmtId="1" fontId="38" fillId="0"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xf>
    <xf numFmtId="1" fontId="44" fillId="2"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wrapText="1"/>
    </xf>
    <xf numFmtId="1" fontId="44" fillId="2" borderId="2" xfId="1" applyNumberFormat="1" applyFont="1" applyFill="1" applyBorder="1" applyAlignment="1">
      <alignment horizontal="right" vertical="center"/>
    </xf>
    <xf numFmtId="1" fontId="45" fillId="2" borderId="0" xfId="1" applyNumberFormat="1" applyFont="1" applyFill="1" applyAlignment="1">
      <alignment vertical="center"/>
    </xf>
    <xf numFmtId="1" fontId="46" fillId="2" borderId="2" xfId="1" applyNumberFormat="1" applyFont="1" applyFill="1" applyBorder="1" applyAlignment="1">
      <alignment horizontal="center" vertical="center"/>
    </xf>
    <xf numFmtId="1" fontId="46" fillId="2" borderId="2" xfId="1" applyNumberFormat="1" applyFont="1" applyFill="1" applyBorder="1" applyAlignment="1">
      <alignment horizontal="center" vertical="center" wrapText="1"/>
    </xf>
    <xf numFmtId="1" fontId="46" fillId="2" borderId="2" xfId="1" applyNumberFormat="1" applyFont="1" applyFill="1" applyBorder="1" applyAlignment="1">
      <alignment horizontal="right" vertical="center"/>
    </xf>
    <xf numFmtId="1" fontId="47" fillId="2" borderId="0" xfId="1" applyNumberFormat="1" applyFont="1" applyFill="1" applyAlignment="1">
      <alignment vertical="center"/>
    </xf>
    <xf numFmtId="1" fontId="32" fillId="0" borderId="2" xfId="1" applyNumberFormat="1" applyFont="1" applyFill="1" applyBorder="1" applyAlignment="1">
      <alignment horizontal="right" vertical="center"/>
    </xf>
    <xf numFmtId="1" fontId="38" fillId="0" borderId="0" xfId="1" applyNumberFormat="1" applyFont="1" applyFill="1" applyAlignment="1">
      <alignment horizontal="center" vertical="center"/>
    </xf>
    <xf numFmtId="1" fontId="38" fillId="0" borderId="0" xfId="1" applyNumberFormat="1" applyFont="1" applyFill="1" applyAlignment="1">
      <alignment vertical="center" wrapText="1"/>
    </xf>
    <xf numFmtId="1" fontId="38" fillId="0" borderId="0" xfId="1" applyNumberFormat="1" applyFont="1" applyFill="1" applyAlignment="1">
      <alignment horizontal="center" vertical="center" wrapText="1"/>
    </xf>
    <xf numFmtId="1" fontId="38" fillId="0" borderId="0" xfId="1" applyNumberFormat="1" applyFont="1" applyFill="1" applyAlignment="1">
      <alignment horizontal="right" vertical="center"/>
    </xf>
    <xf numFmtId="1" fontId="32" fillId="0" borderId="0" xfId="1" applyNumberFormat="1" applyFont="1" applyFill="1" applyAlignment="1">
      <alignment horizontal="center" vertical="center"/>
    </xf>
    <xf numFmtId="1" fontId="32" fillId="0" borderId="0" xfId="1" applyNumberFormat="1" applyFont="1" applyFill="1" applyAlignment="1">
      <alignment vertical="center" wrapText="1"/>
    </xf>
    <xf numFmtId="1" fontId="32" fillId="0" borderId="0" xfId="1" applyNumberFormat="1" applyFont="1" applyFill="1" applyAlignment="1">
      <alignment horizontal="center" vertical="center" wrapText="1"/>
    </xf>
    <xf numFmtId="1" fontId="16" fillId="0" borderId="0" xfId="1" applyNumberFormat="1" applyFont="1" applyFill="1" applyAlignment="1"/>
    <xf numFmtId="3" fontId="9" fillId="0" borderId="4" xfId="1" applyNumberFormat="1" applyFont="1" applyFill="1" applyBorder="1" applyAlignment="1">
      <alignment vertical="center" wrapText="1"/>
    </xf>
    <xf numFmtId="3" fontId="9" fillId="0" borderId="5" xfId="1" applyNumberFormat="1" applyFont="1" applyFill="1" applyBorder="1" applyAlignment="1">
      <alignment vertical="center" wrapText="1"/>
    </xf>
    <xf numFmtId="1" fontId="19" fillId="0" borderId="0" xfId="1" applyNumberFormat="1" applyFont="1" applyFill="1" applyAlignment="1">
      <alignment horizontal="center" vertical="center"/>
    </xf>
    <xf numFmtId="49" fontId="9" fillId="0" borderId="0" xfId="1" applyNumberFormat="1" applyFont="1" applyFill="1" applyBorder="1" applyAlignment="1">
      <alignment horizontal="center" vertical="center"/>
    </xf>
    <xf numFmtId="1" fontId="9" fillId="0" borderId="0" xfId="1" quotePrefix="1" applyNumberFormat="1" applyFont="1" applyFill="1" applyBorder="1" applyAlignment="1">
      <alignment vertical="center" wrapText="1"/>
    </xf>
    <xf numFmtId="1" fontId="17" fillId="0" borderId="0" xfId="1" applyNumberFormat="1" applyFont="1" applyFill="1" applyBorder="1" applyAlignment="1">
      <alignment horizontal="center" vertical="center" wrapText="1"/>
    </xf>
    <xf numFmtId="49" fontId="9" fillId="0" borderId="0" xfId="1" applyNumberFormat="1" applyFont="1" applyFill="1" applyAlignment="1">
      <alignment vertical="center"/>
    </xf>
    <xf numFmtId="49" fontId="16" fillId="0" borderId="0"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horizontal="left" vertical="center" wrapText="1"/>
    </xf>
    <xf numFmtId="0" fontId="51" fillId="0" borderId="0" xfId="20" applyFont="1" applyAlignment="1">
      <alignment vertical="center" wrapText="1" readingOrder="1"/>
    </xf>
    <xf numFmtId="0" fontId="51" fillId="0" borderId="0" xfId="20" applyFont="1" applyAlignment="1">
      <alignment vertical="center" readingOrder="1"/>
    </xf>
    <xf numFmtId="0" fontId="52" fillId="0" borderId="0" xfId="20" applyFont="1" applyAlignment="1">
      <alignment vertical="center" wrapText="1" readingOrder="1"/>
    </xf>
    <xf numFmtId="0" fontId="10" fillId="0" borderId="0" xfId="20" applyFont="1" applyAlignment="1">
      <alignment vertical="center" wrapText="1" readingOrder="1"/>
    </xf>
    <xf numFmtId="0" fontId="10" fillId="0" borderId="0" xfId="20" applyFont="1" applyAlignment="1">
      <alignment vertical="center" readingOrder="1"/>
    </xf>
    <xf numFmtId="0" fontId="54" fillId="0" borderId="0" xfId="20" applyFont="1" applyAlignment="1">
      <alignment vertical="center" wrapText="1" readingOrder="1"/>
    </xf>
    <xf numFmtId="0" fontId="10" fillId="0" borderId="0" xfId="20" applyFont="1" applyAlignment="1">
      <alignment horizontal="center" vertical="center" wrapText="1" readingOrder="1"/>
    </xf>
    <xf numFmtId="0" fontId="56" fillId="0" borderId="0" xfId="20" applyFont="1" applyAlignment="1">
      <alignment vertical="center" wrapText="1" readingOrder="1"/>
    </xf>
    <xf numFmtId="0" fontId="54" fillId="0" borderId="0" xfId="20" applyFont="1" applyAlignment="1">
      <alignment horizontal="left" vertical="center" wrapText="1" readingOrder="1"/>
    </xf>
    <xf numFmtId="0" fontId="54" fillId="0" borderId="2" xfId="20" applyFont="1" applyBorder="1" applyAlignment="1">
      <alignment horizontal="center" vertical="center" wrapText="1" readingOrder="1"/>
    </xf>
    <xf numFmtId="0" fontId="54" fillId="0" borderId="0" xfId="20" applyFont="1" applyAlignment="1">
      <alignment horizontal="center" vertical="center" wrapText="1" readingOrder="1"/>
    </xf>
    <xf numFmtId="0" fontId="54" fillId="0" borderId="2" xfId="20" applyFont="1" applyBorder="1" applyAlignment="1">
      <alignment vertical="center" wrapText="1" readingOrder="1"/>
    </xf>
    <xf numFmtId="0" fontId="52" fillId="0" borderId="2" xfId="20" applyFont="1" applyBorder="1" applyAlignment="1">
      <alignment horizontal="center" vertical="center" wrapText="1" readingOrder="1"/>
    </xf>
    <xf numFmtId="0" fontId="57" fillId="0" borderId="2" xfId="20" applyFont="1" applyBorder="1" applyAlignment="1">
      <alignment horizontal="right" vertical="center" wrapText="1" readingOrder="1"/>
    </xf>
    <xf numFmtId="0" fontId="52" fillId="0" borderId="2" xfId="20" applyFont="1" applyBorder="1" applyAlignment="1">
      <alignment horizontal="left" vertical="center" wrapText="1" readingOrder="1"/>
    </xf>
    <xf numFmtId="0" fontId="52" fillId="0" borderId="6" xfId="20" applyFont="1" applyBorder="1" applyAlignment="1">
      <alignment vertical="center" wrapText="1" readingOrder="1"/>
    </xf>
    <xf numFmtId="0" fontId="52" fillId="0" borderId="2" xfId="20" applyFont="1" applyBorder="1" applyAlignment="1">
      <alignment vertical="center" wrapText="1" readingOrder="1"/>
    </xf>
    <xf numFmtId="0" fontId="58" fillId="0" borderId="2" xfId="20" applyFont="1" applyBorder="1" applyAlignment="1">
      <alignment horizontal="center" vertical="center" wrapText="1" readingOrder="1"/>
    </xf>
    <xf numFmtId="0" fontId="58" fillId="0" borderId="2" xfId="20" applyFont="1" applyBorder="1" applyAlignment="1">
      <alignment vertical="center" wrapText="1" readingOrder="1"/>
    </xf>
    <xf numFmtId="0" fontId="59" fillId="0" borderId="2" xfId="20" applyFont="1" applyBorder="1" applyAlignment="1">
      <alignment horizontal="right" vertical="center" wrapText="1" readingOrder="1"/>
    </xf>
    <xf numFmtId="0" fontId="56" fillId="0" borderId="2" xfId="20" applyFont="1" applyBorder="1" applyAlignment="1">
      <alignment vertical="center" wrapText="1" readingOrder="1"/>
    </xf>
    <xf numFmtId="0" fontId="56" fillId="0" borderId="2" xfId="20" quotePrefix="1" applyFont="1" applyBorder="1" applyAlignment="1">
      <alignment horizontal="center" vertical="center" wrapText="1" readingOrder="1"/>
    </xf>
    <xf numFmtId="0" fontId="60" fillId="0" borderId="2" xfId="20" applyFont="1" applyBorder="1" applyAlignment="1">
      <alignment horizontal="right" vertical="center" wrapText="1" readingOrder="1"/>
    </xf>
    <xf numFmtId="0" fontId="54" fillId="0" borderId="3" xfId="20" quotePrefix="1" applyFont="1" applyBorder="1" applyAlignment="1">
      <alignment horizontal="center" vertical="center" wrapText="1" readingOrder="1"/>
    </xf>
    <xf numFmtId="0" fontId="54" fillId="0" borderId="2" xfId="20" applyFont="1" applyBorder="1" applyAlignment="1">
      <alignment vertical="center" wrapText="1"/>
    </xf>
    <xf numFmtId="0" fontId="54" fillId="0" borderId="5" xfId="20" applyFont="1" applyBorder="1" applyAlignment="1">
      <alignment vertical="center" wrapText="1" readingOrder="1"/>
    </xf>
    <xf numFmtId="0" fontId="61" fillId="0" borderId="2" xfId="20" applyFont="1" applyBorder="1" applyAlignment="1">
      <alignment horizontal="right" vertical="center" wrapText="1" readingOrder="1"/>
    </xf>
    <xf numFmtId="49" fontId="11" fillId="0" borderId="2" xfId="20" applyNumberFormat="1" applyFont="1" applyBorder="1" applyAlignment="1">
      <alignment vertical="center" wrapText="1"/>
    </xf>
    <xf numFmtId="0" fontId="58" fillId="0" borderId="2" xfId="20" quotePrefix="1" applyFont="1" applyBorder="1" applyAlignment="1">
      <alignment horizontal="center" vertical="center" wrapText="1" readingOrder="1"/>
    </xf>
    <xf numFmtId="49" fontId="58" fillId="0" borderId="2" xfId="21" applyNumberFormat="1" applyFont="1" applyFill="1" applyBorder="1" applyAlignment="1">
      <alignment horizontal="left" vertical="center" wrapText="1"/>
    </xf>
    <xf numFmtId="0" fontId="58" fillId="0" borderId="0" xfId="20" applyFont="1" applyAlignment="1">
      <alignment vertical="center" wrapText="1" readingOrder="1"/>
    </xf>
    <xf numFmtId="173" fontId="54" fillId="0" borderId="2" xfId="20" quotePrefix="1" applyNumberFormat="1" applyFont="1" applyBorder="1" applyAlignment="1">
      <alignment horizontal="center" vertical="center" wrapText="1" readingOrder="1"/>
    </xf>
    <xf numFmtId="0" fontId="54" fillId="0" borderId="2" xfId="20" quotePrefix="1" applyFont="1" applyBorder="1" applyAlignment="1">
      <alignment horizontal="center" vertical="center" wrapText="1" readingOrder="1"/>
    </xf>
    <xf numFmtId="49" fontId="54" fillId="0" borderId="2" xfId="21" applyNumberFormat="1" applyFont="1" applyFill="1" applyBorder="1" applyAlignment="1">
      <alignment horizontal="left" vertical="center" wrapText="1"/>
    </xf>
    <xf numFmtId="0" fontId="21" fillId="0" borderId="0" xfId="20" applyFont="1" applyAlignment="1">
      <alignment vertical="center" wrapText="1" readingOrder="1"/>
    </xf>
    <xf numFmtId="0" fontId="21" fillId="0" borderId="0" xfId="20" applyFont="1" applyAlignment="1">
      <alignment vertical="center"/>
    </xf>
    <xf numFmtId="0" fontId="3" fillId="0" borderId="0" xfId="20" applyAlignment="1">
      <alignment vertical="center"/>
    </xf>
    <xf numFmtId="49" fontId="54" fillId="0" borderId="0" xfId="20" applyNumberFormat="1" applyFont="1" applyAlignment="1">
      <alignment vertical="center" wrapText="1" readingOrder="1"/>
    </xf>
    <xf numFmtId="49" fontId="56" fillId="0" borderId="0" xfId="20" applyNumberFormat="1" applyFont="1" applyAlignment="1">
      <alignment vertical="center" wrapText="1" readingOrder="1"/>
    </xf>
    <xf numFmtId="49" fontId="51" fillId="0" borderId="2" xfId="20" applyNumberFormat="1" applyFont="1" applyBorder="1" applyAlignment="1">
      <alignment horizontal="center" vertical="center" wrapText="1"/>
    </xf>
    <xf numFmtId="0" fontId="51" fillId="0" borderId="2" xfId="20" applyFont="1" applyBorder="1" applyAlignment="1">
      <alignment horizontal="center" vertical="center" wrapText="1"/>
    </xf>
    <xf numFmtId="0" fontId="51" fillId="0" borderId="0" xfId="20" applyFont="1" applyAlignment="1">
      <alignment horizontal="center" vertical="center"/>
    </xf>
    <xf numFmtId="0" fontId="52" fillId="0" borderId="2" xfId="20" applyFont="1" applyBorder="1" applyAlignment="1">
      <alignment horizontal="center" vertical="center" wrapText="1"/>
    </xf>
    <xf numFmtId="0" fontId="62" fillId="0" borderId="2" xfId="20" applyFont="1" applyBorder="1" applyAlignment="1">
      <alignment horizontal="right" vertical="center" wrapText="1"/>
    </xf>
    <xf numFmtId="0" fontId="3" fillId="0" borderId="2" xfId="20" applyBorder="1" applyAlignment="1">
      <alignment vertical="center"/>
    </xf>
    <xf numFmtId="0" fontId="63" fillId="0" borderId="2" xfId="20" applyFont="1" applyBorder="1" applyAlignment="1">
      <alignment horizontal="right" vertical="center" wrapText="1"/>
    </xf>
    <xf numFmtId="0" fontId="3" fillId="0" borderId="2" xfId="20" applyFont="1" applyBorder="1" applyAlignment="1">
      <alignment vertical="center"/>
    </xf>
    <xf numFmtId="0" fontId="3" fillId="0" borderId="0" xfId="20" applyFont="1" applyAlignment="1">
      <alignment vertical="center"/>
    </xf>
    <xf numFmtId="49" fontId="52" fillId="0" borderId="2" xfId="20" applyNumberFormat="1" applyFont="1" applyBorder="1" applyAlignment="1">
      <alignment horizontal="center" vertical="center" wrapText="1" readingOrder="1"/>
    </xf>
    <xf numFmtId="0" fontId="64" fillId="0" borderId="2" xfId="20" applyFont="1" applyBorder="1" applyAlignment="1">
      <alignment vertical="center"/>
    </xf>
    <xf numFmtId="49" fontId="3" fillId="0" borderId="0" xfId="20" applyNumberFormat="1" applyAlignment="1">
      <alignment vertical="center"/>
    </xf>
    <xf numFmtId="1" fontId="5" fillId="0" borderId="0" xfId="1" applyNumberFormat="1" applyFont="1" applyFill="1" applyAlignment="1">
      <alignment vertical="center" wrapText="1"/>
    </xf>
    <xf numFmtId="1" fontId="36" fillId="0" borderId="0" xfId="1" applyNumberFormat="1" applyFont="1" applyFill="1" applyAlignment="1">
      <alignment vertical="center" wrapText="1"/>
    </xf>
    <xf numFmtId="0" fontId="14" fillId="0" borderId="2" xfId="10" applyFont="1" applyBorder="1" applyAlignment="1">
      <alignment horizontal="center" vertical="center" wrapText="1"/>
    </xf>
    <xf numFmtId="3" fontId="9" fillId="0" borderId="2" xfId="1" applyNumberFormat="1" applyFont="1" applyFill="1" applyBorder="1" applyAlignment="1">
      <alignment vertical="center" wrapText="1"/>
    </xf>
    <xf numFmtId="0" fontId="9" fillId="0" borderId="2" xfId="1" applyNumberFormat="1" applyFont="1" applyFill="1" applyBorder="1" applyAlignment="1">
      <alignment horizontal="center" vertical="center" wrapText="1"/>
    </xf>
    <xf numFmtId="1" fontId="17" fillId="0" borderId="2" xfId="1" applyNumberFormat="1" applyFont="1" applyFill="1" applyBorder="1" applyAlignment="1">
      <alignment vertical="center"/>
    </xf>
    <xf numFmtId="1" fontId="17" fillId="0" borderId="0"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right" vertical="center"/>
    </xf>
    <xf numFmtId="49" fontId="9" fillId="0" borderId="0" xfId="1" applyNumberFormat="1" applyFont="1" applyFill="1" applyAlignment="1">
      <alignment horizontal="right" vertical="center"/>
    </xf>
    <xf numFmtId="1" fontId="274" fillId="0" borderId="0" xfId="1" applyNumberFormat="1" applyFont="1" applyFill="1" applyAlignment="1">
      <alignment horizontal="center" vertical="center"/>
    </xf>
    <xf numFmtId="1" fontId="274" fillId="0" borderId="0" xfId="1" applyNumberFormat="1" applyFont="1" applyFill="1" applyAlignment="1">
      <alignment horizontal="right" vertical="center"/>
    </xf>
    <xf numFmtId="1" fontId="274" fillId="0" borderId="0" xfId="1" applyNumberFormat="1" applyFont="1" applyFill="1" applyAlignment="1">
      <alignment vertical="center"/>
    </xf>
    <xf numFmtId="1" fontId="274" fillId="0" borderId="0" xfId="1" applyNumberFormat="1" applyFont="1" applyFill="1" applyAlignment="1">
      <alignment vertical="center" wrapText="1"/>
    </xf>
    <xf numFmtId="1" fontId="274" fillId="0" borderId="0" xfId="1" applyNumberFormat="1" applyFont="1" applyFill="1" applyAlignment="1">
      <alignment horizontal="center" vertical="center" wrapText="1"/>
    </xf>
    <xf numFmtId="1" fontId="278" fillId="0" borderId="1" xfId="1" applyNumberFormat="1" applyFont="1" applyFill="1" applyBorder="1" applyAlignment="1">
      <alignment vertical="center"/>
    </xf>
    <xf numFmtId="1" fontId="278" fillId="0" borderId="1" xfId="1" applyNumberFormat="1" applyFont="1" applyFill="1" applyBorder="1" applyAlignment="1">
      <alignment horizontal="right" vertical="center"/>
    </xf>
    <xf numFmtId="3" fontId="278" fillId="0" borderId="0" xfId="1" applyNumberFormat="1" applyFont="1" applyFill="1" applyBorder="1" applyAlignment="1">
      <alignment vertical="center" wrapText="1"/>
    </xf>
    <xf numFmtId="3" fontId="162" fillId="0" borderId="0" xfId="1" applyNumberFormat="1" applyFont="1" applyFill="1" applyBorder="1" applyAlignment="1">
      <alignment horizontal="center" vertical="center" wrapText="1"/>
    </xf>
    <xf numFmtId="1" fontId="162" fillId="0" borderId="0" xfId="1" applyNumberFormat="1" applyFont="1" applyFill="1" applyAlignment="1">
      <alignment horizontal="center" vertical="center" wrapText="1"/>
    </xf>
    <xf numFmtId="3" fontId="133" fillId="0" borderId="2" xfId="1" quotePrefix="1" applyNumberFormat="1" applyFont="1" applyFill="1" applyBorder="1" applyAlignment="1">
      <alignment horizontal="center" vertical="center" wrapText="1"/>
    </xf>
    <xf numFmtId="3" fontId="274" fillId="0" borderId="2" xfId="1" quotePrefix="1" applyNumberFormat="1" applyFont="1" applyFill="1" applyBorder="1" applyAlignment="1">
      <alignment horizontal="center" vertical="center" wrapText="1"/>
    </xf>
    <xf numFmtId="244" fontId="133" fillId="0" borderId="2" xfId="4260" quotePrefix="1" applyNumberFormat="1" applyFont="1" applyFill="1" applyBorder="1" applyAlignment="1">
      <alignment horizontal="center" vertical="center" wrapText="1"/>
    </xf>
    <xf numFmtId="244" fontId="133" fillId="0" borderId="2" xfId="4260" quotePrefix="1" applyNumberFormat="1" applyFont="1" applyFill="1" applyBorder="1" applyAlignment="1">
      <alignment horizontal="right" vertical="center" wrapText="1"/>
    </xf>
    <xf numFmtId="3" fontId="162" fillId="0" borderId="2" xfId="1" quotePrefix="1" applyNumberFormat="1" applyFont="1" applyFill="1" applyBorder="1" applyAlignment="1">
      <alignment horizontal="center" vertical="center" wrapText="1"/>
    </xf>
    <xf numFmtId="3" fontId="162" fillId="0" borderId="2" xfId="1" quotePrefix="1" applyNumberFormat="1" applyFont="1" applyFill="1" applyBorder="1" applyAlignment="1">
      <alignment horizontal="left" vertical="center" wrapText="1"/>
    </xf>
    <xf numFmtId="244" fontId="162" fillId="0" borderId="2" xfId="4260" quotePrefix="1" applyNumberFormat="1" applyFont="1" applyFill="1" applyBorder="1" applyAlignment="1">
      <alignment horizontal="right" vertical="center" wrapText="1"/>
    </xf>
    <xf numFmtId="3" fontId="274" fillId="0" borderId="0" xfId="1" applyNumberFormat="1" applyFont="1" applyFill="1" applyBorder="1" applyAlignment="1">
      <alignment vertical="center" wrapText="1"/>
    </xf>
    <xf numFmtId="244" fontId="162" fillId="0" borderId="2" xfId="4260" quotePrefix="1" applyNumberFormat="1" applyFont="1" applyFill="1" applyBorder="1" applyAlignment="1">
      <alignment horizontal="center" vertical="center" wrapText="1"/>
    </xf>
    <xf numFmtId="3" fontId="279" fillId="0" borderId="0" xfId="1" applyNumberFormat="1" applyFont="1" applyFill="1" applyBorder="1" applyAlignment="1">
      <alignment vertical="center" wrapText="1"/>
    </xf>
    <xf numFmtId="3" fontId="133" fillId="0" borderId="2" xfId="1" quotePrefix="1" applyNumberFormat="1" applyFont="1" applyFill="1" applyBorder="1" applyAlignment="1">
      <alignment horizontal="left" vertical="center" wrapText="1"/>
    </xf>
    <xf numFmtId="3" fontId="280" fillId="0" borderId="2" xfId="1" quotePrefix="1" applyNumberFormat="1" applyFont="1" applyFill="1" applyBorder="1" applyAlignment="1">
      <alignment horizontal="center" vertical="center" wrapText="1"/>
    </xf>
    <xf numFmtId="3" fontId="280" fillId="0" borderId="2" xfId="1" quotePrefix="1" applyNumberFormat="1" applyFont="1" applyFill="1" applyBorder="1" applyAlignment="1">
      <alignment horizontal="left" vertical="center" wrapText="1"/>
    </xf>
    <xf numFmtId="244" fontId="280" fillId="0" borderId="2" xfId="4260" quotePrefix="1" applyNumberFormat="1" applyFont="1" applyFill="1" applyBorder="1" applyAlignment="1">
      <alignment horizontal="center" vertical="center" wrapText="1"/>
    </xf>
    <xf numFmtId="244" fontId="280" fillId="0" borderId="2" xfId="4260" quotePrefix="1" applyNumberFormat="1" applyFont="1" applyFill="1" applyBorder="1" applyAlignment="1">
      <alignment horizontal="right" vertical="center" wrapText="1"/>
    </xf>
    <xf numFmtId="3" fontId="278" fillId="0" borderId="2" xfId="1" quotePrefix="1" applyNumberFormat="1" applyFont="1" applyFill="1" applyBorder="1" applyAlignment="1">
      <alignment horizontal="center" vertical="center" wrapText="1"/>
    </xf>
    <xf numFmtId="4" fontId="133" fillId="0" borderId="2" xfId="1" quotePrefix="1" applyNumberFormat="1" applyFont="1" applyFill="1" applyBorder="1" applyAlignment="1">
      <alignment horizontal="center" vertical="center" wrapText="1"/>
    </xf>
    <xf numFmtId="3" fontId="133" fillId="0" borderId="2" xfId="3" applyNumberFormat="1" applyFont="1" applyFill="1" applyBorder="1" applyAlignment="1">
      <alignment horizontal="left" vertical="center" wrapText="1"/>
    </xf>
    <xf numFmtId="49" fontId="162" fillId="0" borderId="2" xfId="1" applyNumberFormat="1" applyFont="1" applyFill="1" applyBorder="1" applyAlignment="1">
      <alignment horizontal="center" vertical="center"/>
    </xf>
    <xf numFmtId="1" fontId="162" fillId="0" borderId="2" xfId="1" applyNumberFormat="1" applyFont="1" applyFill="1" applyBorder="1" applyAlignment="1">
      <alignment horizontal="left" vertical="center" wrapText="1"/>
    </xf>
    <xf numFmtId="1" fontId="162" fillId="0" borderId="2" xfId="1" applyNumberFormat="1" applyFont="1" applyFill="1" applyBorder="1" applyAlignment="1">
      <alignment horizontal="center" vertical="center" wrapText="1"/>
    </xf>
    <xf numFmtId="3" fontId="162" fillId="0" borderId="2" xfId="1" quotePrefix="1" applyNumberFormat="1" applyFont="1" applyFill="1" applyBorder="1" applyAlignment="1">
      <alignment horizontal="right" vertical="center" wrapText="1"/>
    </xf>
    <xf numFmtId="244" fontId="162" fillId="0" borderId="2" xfId="4260" applyNumberFormat="1" applyFont="1" applyFill="1" applyBorder="1" applyAlignment="1">
      <alignment horizontal="center" vertical="center" wrapText="1"/>
    </xf>
    <xf numFmtId="1" fontId="279" fillId="0" borderId="0" xfId="1" applyNumberFormat="1" applyFont="1" applyFill="1" applyAlignment="1">
      <alignment vertical="center"/>
    </xf>
    <xf numFmtId="4" fontId="162" fillId="0" borderId="2" xfId="1" quotePrefix="1" applyNumberFormat="1" applyFont="1" applyFill="1" applyBorder="1" applyAlignment="1">
      <alignment horizontal="center" vertical="center" wrapText="1"/>
    </xf>
    <xf numFmtId="1" fontId="162" fillId="0" borderId="2" xfId="1" applyNumberFormat="1" applyFont="1" applyFill="1" applyBorder="1" applyAlignment="1">
      <alignment vertical="center" wrapText="1"/>
    </xf>
    <xf numFmtId="3" fontId="162" fillId="0" borderId="2" xfId="1" quotePrefix="1" applyNumberFormat="1" applyFont="1" applyFill="1" applyBorder="1" applyAlignment="1">
      <alignment vertical="center" wrapText="1"/>
    </xf>
    <xf numFmtId="1" fontId="277" fillId="0" borderId="2" xfId="1" applyNumberFormat="1" applyFont="1" applyFill="1" applyBorder="1" applyAlignment="1">
      <alignment vertical="center" wrapText="1"/>
    </xf>
    <xf numFmtId="49" fontId="162" fillId="0" borderId="2" xfId="1" quotePrefix="1" applyNumberFormat="1" applyFont="1" applyFill="1" applyBorder="1" applyAlignment="1">
      <alignment horizontal="center" vertical="center"/>
    </xf>
    <xf numFmtId="0" fontId="162" fillId="0" borderId="2" xfId="4261" applyFont="1" applyFill="1" applyBorder="1" applyAlignment="1">
      <alignment vertical="center" wrapText="1"/>
    </xf>
    <xf numFmtId="4" fontId="162" fillId="0" borderId="2" xfId="1" applyNumberFormat="1" applyFont="1" applyFill="1" applyBorder="1" applyAlignment="1">
      <alignment horizontal="center" vertical="center" wrapText="1"/>
    </xf>
    <xf numFmtId="1" fontId="162" fillId="0" borderId="2" xfId="1" applyNumberFormat="1" applyFont="1" applyFill="1" applyBorder="1" applyAlignment="1">
      <alignment horizontal="center" vertical="center"/>
    </xf>
    <xf numFmtId="0" fontId="162" fillId="0" borderId="2" xfId="0" applyFont="1" applyFill="1" applyBorder="1" applyAlignment="1">
      <alignment vertical="center" wrapText="1"/>
    </xf>
    <xf numFmtId="244" fontId="162" fillId="0" borderId="2" xfId="4260" applyNumberFormat="1" applyFont="1" applyFill="1" applyBorder="1" applyAlignment="1">
      <alignment horizontal="right" vertical="center" wrapText="1"/>
    </xf>
    <xf numFmtId="1" fontId="133" fillId="0" borderId="2" xfId="1" applyNumberFormat="1" applyFont="1" applyFill="1" applyBorder="1" applyAlignment="1">
      <alignment horizontal="center" vertical="center" wrapText="1"/>
    </xf>
    <xf numFmtId="0" fontId="162" fillId="0" borderId="2" xfId="0" applyFont="1" applyFill="1" applyBorder="1" applyAlignment="1">
      <alignment vertical="center"/>
    </xf>
    <xf numFmtId="4" fontId="133" fillId="0" borderId="2" xfId="0" applyNumberFormat="1" applyFont="1" applyFill="1" applyBorder="1" applyAlignment="1">
      <alignment horizontal="center" vertical="center" wrapText="1"/>
    </xf>
    <xf numFmtId="0" fontId="274" fillId="0" borderId="2" xfId="0" applyFont="1" applyFill="1" applyBorder="1" applyAlignment="1">
      <alignment horizontal="center" vertical="center" wrapText="1"/>
    </xf>
    <xf numFmtId="175" fontId="133" fillId="0" borderId="2" xfId="1776" quotePrefix="1" applyNumberFormat="1" applyFont="1" applyFill="1" applyBorder="1" applyAlignment="1">
      <alignment horizontal="center" vertical="center" wrapText="1"/>
    </xf>
    <xf numFmtId="244" fontId="133" fillId="0" borderId="2" xfId="4260" applyNumberFormat="1" applyFont="1" applyFill="1" applyBorder="1" applyAlignment="1">
      <alignment horizontal="center" vertical="center" wrapText="1"/>
    </xf>
    <xf numFmtId="3" fontId="133" fillId="0" borderId="2" xfId="1" quotePrefix="1" applyNumberFormat="1" applyFont="1" applyFill="1" applyBorder="1" applyAlignment="1">
      <alignment horizontal="right" vertical="center" wrapText="1"/>
    </xf>
    <xf numFmtId="175" fontId="162" fillId="0" borderId="2" xfId="1776" quotePrefix="1" applyNumberFormat="1" applyFont="1" applyFill="1" applyBorder="1" applyAlignment="1">
      <alignment horizontal="center" vertical="center" wrapText="1"/>
    </xf>
    <xf numFmtId="1" fontId="162" fillId="0" borderId="0" xfId="1" applyNumberFormat="1" applyFont="1" applyFill="1" applyAlignment="1">
      <alignment vertical="center"/>
    </xf>
    <xf numFmtId="0" fontId="162" fillId="0" borderId="2" xfId="2678" applyFont="1" applyFill="1" applyBorder="1" applyAlignment="1">
      <alignment horizontal="center" vertical="center" wrapText="1"/>
    </xf>
    <xf numFmtId="0" fontId="162" fillId="0" borderId="2" xfId="2678" applyFont="1" applyFill="1" applyBorder="1" applyAlignment="1">
      <alignment vertical="center" wrapText="1"/>
    </xf>
    <xf numFmtId="175" fontId="274" fillId="0" borderId="2" xfId="1776" applyNumberFormat="1" applyFont="1" applyFill="1" applyBorder="1" applyAlignment="1">
      <alignment horizontal="center" vertical="center" wrapText="1"/>
    </xf>
    <xf numFmtId="1" fontId="277" fillId="0" borderId="2" xfId="1" applyNumberFormat="1" applyFont="1" applyFill="1" applyBorder="1" applyAlignment="1">
      <alignment horizontal="center" vertical="center" wrapText="1"/>
    </xf>
    <xf numFmtId="244" fontId="277" fillId="0" borderId="2" xfId="4260" applyNumberFormat="1" applyFont="1" applyFill="1" applyBorder="1" applyAlignment="1">
      <alignment horizontal="center" vertical="center" wrapText="1"/>
    </xf>
    <xf numFmtId="1" fontId="277" fillId="0" borderId="0" xfId="1" applyNumberFormat="1" applyFont="1" applyFill="1" applyAlignment="1">
      <alignment vertical="center"/>
    </xf>
    <xf numFmtId="0" fontId="133" fillId="0" borderId="2" xfId="2678" quotePrefix="1" applyFont="1" applyFill="1" applyBorder="1" applyAlignment="1">
      <alignment horizontal="center" vertical="center" wrapText="1"/>
    </xf>
    <xf numFmtId="0" fontId="133" fillId="0" borderId="2" xfId="4261" applyFont="1" applyFill="1" applyBorder="1" applyAlignment="1">
      <alignment vertical="center" wrapText="1"/>
    </xf>
    <xf numFmtId="0" fontId="133" fillId="0" borderId="2" xfId="2678" applyFont="1" applyFill="1" applyBorder="1" applyAlignment="1">
      <alignment horizontal="center" vertical="center"/>
    </xf>
    <xf numFmtId="175" fontId="133" fillId="0" borderId="2" xfId="1776" applyNumberFormat="1" applyFont="1" applyFill="1" applyBorder="1" applyAlignment="1">
      <alignment horizontal="center" vertical="center" wrapText="1"/>
    </xf>
    <xf numFmtId="1" fontId="133" fillId="0" borderId="0" xfId="1" applyNumberFormat="1" applyFont="1" applyFill="1" applyAlignment="1">
      <alignment vertical="center"/>
    </xf>
    <xf numFmtId="0" fontId="162" fillId="0" borderId="2" xfId="2678" quotePrefix="1" applyFont="1" applyFill="1" applyBorder="1" applyAlignment="1">
      <alignment horizontal="center" vertical="center" wrapText="1"/>
    </xf>
    <xf numFmtId="0" fontId="162" fillId="0" borderId="2" xfId="2678" applyFont="1" applyFill="1" applyBorder="1" applyAlignment="1">
      <alignment horizontal="center" vertical="center"/>
    </xf>
    <xf numFmtId="175" fontId="162" fillId="0" borderId="2" xfId="1776" applyNumberFormat="1" applyFont="1" applyFill="1" applyBorder="1" applyAlignment="1">
      <alignment horizontal="center" vertical="center" wrapText="1"/>
    </xf>
    <xf numFmtId="1" fontId="162" fillId="0" borderId="2" xfId="1" applyNumberFormat="1" applyFont="1" applyFill="1" applyBorder="1" applyAlignment="1">
      <alignment vertical="center"/>
    </xf>
    <xf numFmtId="0" fontId="133" fillId="0" borderId="2" xfId="2678" applyFont="1" applyFill="1" applyBorder="1" applyAlignment="1">
      <alignment vertical="center" wrapText="1"/>
    </xf>
    <xf numFmtId="3" fontId="133" fillId="0" borderId="2" xfId="1" applyNumberFormat="1" applyFont="1" applyFill="1" applyBorder="1" applyAlignment="1">
      <alignment horizontal="center" vertical="center" wrapText="1"/>
    </xf>
    <xf numFmtId="175" fontId="133" fillId="0" borderId="2" xfId="1776" applyNumberFormat="1" applyFont="1" applyFill="1" applyBorder="1" applyAlignment="1">
      <alignment vertical="center" wrapText="1"/>
    </xf>
    <xf numFmtId="1" fontId="280" fillId="0" borderId="0" xfId="1" applyNumberFormat="1" applyFont="1" applyFill="1" applyAlignment="1">
      <alignment vertical="center"/>
    </xf>
    <xf numFmtId="0" fontId="133" fillId="0" borderId="2" xfId="2678" applyNumberFormat="1" applyFont="1" applyFill="1" applyBorder="1" applyAlignment="1">
      <alignment vertical="center" wrapText="1"/>
    </xf>
    <xf numFmtId="1" fontId="280" fillId="0" borderId="2" xfId="1" applyNumberFormat="1" applyFont="1" applyFill="1" applyBorder="1" applyAlignment="1">
      <alignment horizontal="center" vertical="center" wrapText="1"/>
    </xf>
    <xf numFmtId="244" fontId="133" fillId="0" borderId="2" xfId="4260" applyNumberFormat="1" applyFont="1" applyFill="1" applyBorder="1" applyAlignment="1">
      <alignment horizontal="right" vertical="center" wrapText="1"/>
    </xf>
    <xf numFmtId="0" fontId="133" fillId="0" borderId="2" xfId="28" applyFont="1" applyFill="1" applyBorder="1" applyAlignment="1">
      <alignment vertical="center" wrapText="1"/>
    </xf>
    <xf numFmtId="49" fontId="277" fillId="0" borderId="2" xfId="1" applyNumberFormat="1" applyFont="1" applyFill="1" applyBorder="1" applyAlignment="1">
      <alignment horizontal="center" vertical="center"/>
    </xf>
    <xf numFmtId="244" fontId="280" fillId="0" borderId="2" xfId="4260" applyNumberFormat="1" applyFont="1" applyFill="1" applyBorder="1" applyAlignment="1">
      <alignment horizontal="center" vertical="center" wrapText="1"/>
    </xf>
    <xf numFmtId="244" fontId="277" fillId="0" borderId="2" xfId="4260" quotePrefix="1" applyNumberFormat="1" applyFont="1" applyFill="1" applyBorder="1" applyAlignment="1">
      <alignment horizontal="right" vertical="center" wrapText="1"/>
    </xf>
    <xf numFmtId="3" fontId="277" fillId="0" borderId="2" xfId="1" quotePrefix="1" applyNumberFormat="1" applyFont="1" applyFill="1" applyBorder="1" applyAlignment="1">
      <alignment horizontal="center" vertical="center" wrapText="1"/>
    </xf>
    <xf numFmtId="1" fontId="278" fillId="0" borderId="0" xfId="1" applyNumberFormat="1" applyFont="1" applyFill="1" applyAlignment="1">
      <alignment vertical="center"/>
    </xf>
    <xf numFmtId="0" fontId="162" fillId="0" borderId="2" xfId="28" applyFont="1" applyFill="1" applyBorder="1" applyAlignment="1">
      <alignment vertical="center" wrapText="1"/>
    </xf>
    <xf numFmtId="175" fontId="133" fillId="0" borderId="2" xfId="3" applyNumberFormat="1" applyFont="1" applyFill="1" applyBorder="1" applyAlignment="1">
      <alignment horizontal="left" vertical="center" wrapText="1"/>
    </xf>
    <xf numFmtId="49" fontId="133" fillId="0" borderId="2" xfId="1" quotePrefix="1" applyNumberFormat="1" applyFont="1" applyFill="1" applyBorder="1" applyAlignment="1">
      <alignment horizontal="center" vertical="center"/>
    </xf>
    <xf numFmtId="244" fontId="277" fillId="0" borderId="2" xfId="4260" quotePrefix="1" applyNumberFormat="1" applyFont="1" applyFill="1" applyBorder="1" applyAlignment="1">
      <alignment horizontal="center" vertical="center" wrapText="1"/>
    </xf>
    <xf numFmtId="175" fontId="133" fillId="0" borderId="2" xfId="1776" applyNumberFormat="1" applyFont="1" applyFill="1" applyBorder="1" applyAlignment="1">
      <alignment horizontal="left" vertical="center"/>
    </xf>
    <xf numFmtId="175" fontId="162" fillId="0" borderId="2" xfId="1776" applyNumberFormat="1" applyFont="1" applyFill="1" applyBorder="1" applyAlignment="1">
      <alignment horizontal="left" vertical="center"/>
    </xf>
    <xf numFmtId="175" fontId="279" fillId="0" borderId="2" xfId="1776" applyNumberFormat="1" applyFont="1" applyFill="1" applyBorder="1" applyAlignment="1">
      <alignment horizontal="center" vertical="center" wrapText="1"/>
    </xf>
    <xf numFmtId="49" fontId="277" fillId="0" borderId="2" xfId="1" quotePrefix="1" applyNumberFormat="1" applyFont="1" applyFill="1" applyBorder="1" applyAlignment="1">
      <alignment horizontal="center" vertical="center"/>
    </xf>
    <xf numFmtId="1" fontId="133" fillId="0" borderId="2" xfId="1" applyNumberFormat="1" applyFont="1" applyFill="1" applyBorder="1" applyAlignment="1">
      <alignment vertical="center" wrapText="1"/>
    </xf>
    <xf numFmtId="49" fontId="133" fillId="0" borderId="2" xfId="28" applyNumberFormat="1" applyFont="1" applyFill="1" applyBorder="1" applyAlignment="1">
      <alignment vertical="center" wrapText="1"/>
    </xf>
    <xf numFmtId="0" fontId="133" fillId="0" borderId="2" xfId="2606" applyFont="1" applyFill="1" applyBorder="1" applyAlignment="1">
      <alignment vertical="center" wrapText="1"/>
    </xf>
    <xf numFmtId="1" fontId="281" fillId="0" borderId="0" xfId="1" applyNumberFormat="1" applyFont="1" applyFill="1" applyAlignment="1">
      <alignment vertical="center"/>
    </xf>
    <xf numFmtId="1" fontId="41" fillId="0" borderId="0" xfId="1" applyNumberFormat="1" applyFont="1" applyFill="1" applyAlignment="1">
      <alignment vertical="center"/>
    </xf>
    <xf numFmtId="1" fontId="133" fillId="0" borderId="2" xfId="3" applyNumberFormat="1" applyFont="1" applyFill="1" applyBorder="1" applyAlignment="1">
      <alignment horizontal="left" vertical="center" wrapText="1"/>
    </xf>
    <xf numFmtId="1" fontId="133" fillId="0" borderId="2" xfId="3" applyNumberFormat="1" applyFont="1" applyFill="1" applyBorder="1" applyAlignment="1">
      <alignment horizontal="center" vertical="center" wrapText="1"/>
    </xf>
    <xf numFmtId="244" fontId="133" fillId="0" borderId="2" xfId="4260" applyNumberFormat="1" applyFont="1" applyFill="1" applyBorder="1" applyAlignment="1">
      <alignment horizontal="right" vertical="center" wrapText="1" shrinkToFit="1"/>
    </xf>
    <xf numFmtId="1" fontId="38" fillId="0" borderId="0" xfId="1" applyNumberFormat="1" applyFont="1" applyFill="1" applyAlignment="1">
      <alignment vertical="center"/>
    </xf>
    <xf numFmtId="1" fontId="162" fillId="0" borderId="2" xfId="3" applyNumberFormat="1" applyFont="1" applyFill="1" applyBorder="1" applyAlignment="1">
      <alignment horizontal="center" vertical="center" wrapText="1"/>
    </xf>
    <xf numFmtId="244" fontId="162" fillId="0" borderId="2" xfId="4260" applyNumberFormat="1" applyFont="1" applyFill="1" applyBorder="1" applyAlignment="1">
      <alignment horizontal="right" vertical="center" wrapText="1" shrinkToFit="1"/>
    </xf>
    <xf numFmtId="0" fontId="133" fillId="0" borderId="2" xfId="0" applyFont="1" applyFill="1" applyBorder="1" applyAlignment="1">
      <alignment horizontal="center" vertical="center" wrapText="1"/>
    </xf>
    <xf numFmtId="244" fontId="277" fillId="0" borderId="2" xfId="4260" applyNumberFormat="1" applyFont="1" applyFill="1" applyBorder="1" applyAlignment="1">
      <alignment horizontal="right" vertical="center" wrapText="1"/>
    </xf>
    <xf numFmtId="175" fontId="277" fillId="0" borderId="2" xfId="1776" applyNumberFormat="1" applyFont="1" applyFill="1" applyBorder="1" applyAlignment="1">
      <alignment horizontal="center" vertical="center" wrapText="1"/>
    </xf>
    <xf numFmtId="0" fontId="162" fillId="0" borderId="2" xfId="0" applyFont="1" applyFill="1" applyBorder="1" applyAlignment="1">
      <alignment horizontal="center" vertical="center" wrapText="1"/>
    </xf>
    <xf numFmtId="1" fontId="274" fillId="0" borderId="2" xfId="1" applyNumberFormat="1" applyFont="1" applyFill="1" applyBorder="1" applyAlignment="1">
      <alignment horizontal="center" vertical="center" wrapText="1"/>
    </xf>
    <xf numFmtId="244" fontId="133" fillId="0" borderId="6" xfId="4260" quotePrefix="1" applyNumberFormat="1" applyFont="1" applyFill="1" applyBorder="1" applyAlignment="1">
      <alignment horizontal="right" vertical="center" wrapText="1"/>
    </xf>
    <xf numFmtId="1" fontId="279" fillId="0" borderId="2" xfId="1" applyNumberFormat="1" applyFont="1" applyFill="1" applyBorder="1" applyAlignment="1">
      <alignment horizontal="center" vertical="center"/>
    </xf>
    <xf numFmtId="0" fontId="133" fillId="0" borderId="2" xfId="28" applyNumberFormat="1" applyFont="1" applyFill="1" applyBorder="1" applyAlignment="1">
      <alignment horizontal="center" vertical="center" wrapText="1"/>
    </xf>
    <xf numFmtId="0" fontId="133" fillId="0" borderId="2" xfId="2608" applyFont="1" applyFill="1" applyBorder="1" applyAlignment="1">
      <alignment vertical="center" wrapText="1"/>
    </xf>
    <xf numFmtId="0" fontId="133" fillId="0" borderId="2" xfId="28" applyFont="1" applyFill="1" applyBorder="1" applyAlignment="1">
      <alignment horizontal="left" vertical="center" wrapText="1"/>
    </xf>
    <xf numFmtId="0" fontId="162" fillId="0" borderId="2" xfId="28" applyNumberFormat="1" applyFont="1" applyFill="1" applyBorder="1" applyAlignment="1">
      <alignment horizontal="center" vertical="center" wrapText="1"/>
    </xf>
    <xf numFmtId="3" fontId="133" fillId="0" borderId="2" xfId="3" quotePrefix="1" applyNumberFormat="1" applyFont="1" applyFill="1" applyBorder="1" applyAlignment="1">
      <alignment horizontal="center" vertical="center" wrapText="1"/>
    </xf>
    <xf numFmtId="1" fontId="277" fillId="0" borderId="2" xfId="1" quotePrefix="1" applyNumberFormat="1" applyFont="1" applyFill="1" applyBorder="1" applyAlignment="1">
      <alignment horizontal="center" vertical="center" wrapText="1"/>
    </xf>
    <xf numFmtId="0" fontId="133" fillId="0" borderId="2" xfId="0" applyFont="1" applyFill="1" applyBorder="1" applyAlignment="1">
      <alignment horizontal="left" vertical="center" wrapText="1"/>
    </xf>
    <xf numFmtId="1" fontId="133" fillId="0" borderId="0" xfId="1" applyNumberFormat="1" applyFont="1" applyFill="1" applyAlignment="1">
      <alignment horizontal="center" vertical="center" wrapText="1"/>
    </xf>
    <xf numFmtId="0" fontId="274" fillId="0" borderId="2" xfId="28" applyFont="1" applyFill="1" applyBorder="1" applyAlignment="1">
      <alignment vertical="center" wrapText="1"/>
    </xf>
    <xf numFmtId="0" fontId="133" fillId="0" borderId="2" xfId="28" applyFont="1" applyFill="1" applyBorder="1" applyAlignment="1">
      <alignment horizontal="center" vertical="center" wrapText="1"/>
    </xf>
    <xf numFmtId="0" fontId="162" fillId="0" borderId="2" xfId="2608" applyFont="1" applyFill="1" applyBorder="1" applyAlignment="1">
      <alignment vertical="center" wrapText="1"/>
    </xf>
    <xf numFmtId="3" fontId="162" fillId="0" borderId="2" xfId="3" quotePrefix="1" applyNumberFormat="1" applyFont="1" applyFill="1" applyBorder="1" applyAlignment="1">
      <alignment horizontal="center" vertical="center" wrapText="1"/>
    </xf>
    <xf numFmtId="0" fontId="133" fillId="0" borderId="2" xfId="0" applyFont="1" applyFill="1" applyBorder="1" applyAlignment="1">
      <alignment vertical="center" wrapText="1"/>
    </xf>
    <xf numFmtId="3" fontId="133" fillId="0" borderId="2" xfId="0" applyNumberFormat="1" applyFont="1" applyFill="1" applyBorder="1" applyAlignment="1">
      <alignment horizontal="center" vertical="center" wrapText="1"/>
    </xf>
    <xf numFmtId="3" fontId="133" fillId="0" borderId="2" xfId="28" applyNumberFormat="1" applyFont="1" applyFill="1" applyBorder="1" applyAlignment="1">
      <alignment horizontal="left" vertical="center" wrapText="1"/>
    </xf>
    <xf numFmtId="49" fontId="133" fillId="0" borderId="2" xfId="0" applyNumberFormat="1" applyFont="1" applyFill="1" applyBorder="1" applyAlignment="1">
      <alignment horizontal="left" vertical="center" wrapText="1"/>
    </xf>
    <xf numFmtId="3" fontId="162" fillId="0" borderId="2" xfId="0" applyNumberFormat="1" applyFont="1" applyFill="1" applyBorder="1" applyAlignment="1">
      <alignment horizontal="center" vertical="center" wrapText="1"/>
    </xf>
    <xf numFmtId="49" fontId="133" fillId="0" borderId="2" xfId="1" applyNumberFormat="1" applyFont="1" applyFill="1" applyBorder="1" applyAlignment="1">
      <alignment horizontal="center" vertical="center"/>
    </xf>
    <xf numFmtId="0" fontId="133" fillId="0" borderId="2" xfId="4263" quotePrefix="1" applyFont="1" applyFill="1" applyBorder="1" applyAlignment="1">
      <alignment horizontal="center" vertical="center" wrapText="1"/>
    </xf>
    <xf numFmtId="0" fontId="133" fillId="0" borderId="2" xfId="4263" applyFont="1" applyFill="1" applyBorder="1" applyAlignment="1">
      <alignment horizontal="left" vertical="center" wrapText="1"/>
    </xf>
    <xf numFmtId="3" fontId="133" fillId="0" borderId="2" xfId="3" applyNumberFormat="1" applyFont="1" applyFill="1" applyBorder="1" applyAlignment="1">
      <alignment horizontal="center" vertical="center" wrapText="1"/>
    </xf>
    <xf numFmtId="1" fontId="162" fillId="0" borderId="2" xfId="1" quotePrefix="1" applyNumberFormat="1" applyFont="1" applyFill="1" applyBorder="1" applyAlignment="1">
      <alignment horizontal="center" vertical="center" wrapText="1"/>
    </xf>
    <xf numFmtId="1" fontId="133" fillId="0" borderId="2" xfId="0" applyNumberFormat="1" applyFont="1" applyFill="1" applyBorder="1" applyAlignment="1">
      <alignment horizontal="center" vertical="center" wrapText="1"/>
    </xf>
    <xf numFmtId="175" fontId="162" fillId="0" borderId="2" xfId="1618" quotePrefix="1" applyNumberFormat="1" applyFont="1" applyFill="1" applyBorder="1" applyAlignment="1">
      <alignment horizontal="center" vertical="center" wrapText="1"/>
    </xf>
    <xf numFmtId="175" fontId="162" fillId="0" borderId="2" xfId="1776" applyNumberFormat="1" applyFont="1" applyFill="1" applyBorder="1" applyAlignment="1">
      <alignment vertical="center" wrapText="1"/>
    </xf>
    <xf numFmtId="3" fontId="133" fillId="0" borderId="2" xfId="28" applyNumberFormat="1" applyFont="1" applyFill="1" applyBorder="1" applyAlignment="1">
      <alignment horizontal="center" vertical="center" wrapText="1"/>
    </xf>
    <xf numFmtId="0" fontId="133" fillId="0" borderId="6" xfId="28" applyFont="1" applyFill="1" applyBorder="1" applyAlignment="1">
      <alignment horizontal="center" vertical="center" wrapText="1"/>
    </xf>
    <xf numFmtId="0" fontId="162" fillId="0" borderId="6" xfId="28" applyFont="1" applyFill="1" applyBorder="1" applyAlignment="1">
      <alignment horizontal="center" vertical="center" wrapText="1"/>
    </xf>
    <xf numFmtId="1" fontId="162" fillId="0" borderId="2" xfId="1" quotePrefix="1" applyNumberFormat="1" applyFont="1" applyFill="1" applyBorder="1" applyAlignment="1">
      <alignment vertical="center" wrapText="1"/>
    </xf>
    <xf numFmtId="3" fontId="276" fillId="0" borderId="2" xfId="3" quotePrefix="1" applyNumberFormat="1" applyFont="1" applyFill="1" applyBorder="1" applyAlignment="1">
      <alignment horizontal="right" vertical="center" wrapText="1"/>
    </xf>
    <xf numFmtId="3" fontId="276" fillId="0" borderId="2" xfId="3" quotePrefix="1" applyNumberFormat="1" applyFont="1" applyFill="1" applyBorder="1" applyAlignment="1">
      <alignment vertical="center" wrapText="1"/>
    </xf>
    <xf numFmtId="1" fontId="279" fillId="0" borderId="2" xfId="1" applyNumberFormat="1" applyFont="1" applyFill="1" applyBorder="1" applyAlignment="1">
      <alignment horizontal="center" vertical="center" wrapText="1"/>
    </xf>
    <xf numFmtId="3" fontId="273" fillId="0" borderId="2" xfId="1" quotePrefix="1" applyNumberFormat="1" applyFont="1" applyFill="1" applyBorder="1" applyAlignment="1">
      <alignment horizontal="center" vertical="center" wrapText="1"/>
    </xf>
    <xf numFmtId="175" fontId="133" fillId="0" borderId="2" xfId="1776" applyNumberFormat="1" applyFont="1" applyFill="1" applyBorder="1" applyAlignment="1">
      <alignment horizontal="center" vertical="center"/>
    </xf>
    <xf numFmtId="3" fontId="162" fillId="0" borderId="2" xfId="3" applyNumberFormat="1" applyFont="1" applyFill="1" applyBorder="1" applyAlignment="1">
      <alignment horizontal="center" vertical="center" wrapText="1"/>
    </xf>
    <xf numFmtId="175" fontId="162" fillId="0" borderId="2" xfId="3" applyNumberFormat="1" applyFont="1" applyFill="1" applyBorder="1" applyAlignment="1">
      <alignment horizontal="center" vertical="center" wrapText="1" shrinkToFit="1"/>
    </xf>
    <xf numFmtId="175" fontId="162" fillId="0" borderId="2" xfId="3" applyNumberFormat="1" applyFont="1" applyFill="1" applyBorder="1" applyAlignment="1">
      <alignment horizontal="left" vertical="center" shrinkToFit="1"/>
    </xf>
    <xf numFmtId="3" fontId="277" fillId="0" borderId="2" xfId="3" applyNumberFormat="1" applyFont="1" applyFill="1" applyBorder="1" applyAlignment="1">
      <alignment horizontal="center" vertical="center" wrapText="1"/>
    </xf>
    <xf numFmtId="1" fontId="133" fillId="0" borderId="2" xfId="3" applyNumberFormat="1" applyFont="1" applyFill="1" applyBorder="1" applyAlignment="1">
      <alignment vertical="center" wrapText="1"/>
    </xf>
    <xf numFmtId="3" fontId="162" fillId="0" borderId="2" xfId="28" applyNumberFormat="1" applyFont="1" applyFill="1" applyBorder="1" applyAlignment="1">
      <alignment horizontal="center" vertical="center" wrapText="1"/>
    </xf>
    <xf numFmtId="3" fontId="162" fillId="0" borderId="2" xfId="28" applyNumberFormat="1" applyFont="1" applyFill="1" applyBorder="1" applyAlignment="1">
      <alignment horizontal="left" vertical="center" wrapText="1"/>
    </xf>
    <xf numFmtId="1" fontId="162" fillId="0" borderId="2" xfId="3" applyNumberFormat="1" applyFont="1" applyFill="1" applyBorder="1" applyAlignment="1">
      <alignment vertical="center" wrapText="1"/>
    </xf>
    <xf numFmtId="244" fontId="162" fillId="0" borderId="7" xfId="4260" quotePrefix="1" applyNumberFormat="1" applyFont="1" applyFill="1" applyBorder="1" applyAlignment="1">
      <alignment horizontal="right" vertical="center" wrapText="1"/>
    </xf>
    <xf numFmtId="3" fontId="162" fillId="0" borderId="7" xfId="3" applyNumberFormat="1" applyFont="1" applyFill="1" applyBorder="1" applyAlignment="1">
      <alignment horizontal="center" vertical="center" wrapText="1"/>
    </xf>
    <xf numFmtId="1" fontId="162" fillId="0" borderId="2" xfId="3" applyNumberFormat="1" applyFont="1" applyFill="1" applyBorder="1" applyAlignment="1">
      <alignment horizontal="center" vertical="center"/>
    </xf>
    <xf numFmtId="3" fontId="162" fillId="0" borderId="2" xfId="3" applyNumberFormat="1" applyFont="1" applyFill="1" applyBorder="1" applyAlignment="1">
      <alignment horizontal="left" vertical="center" wrapText="1"/>
    </xf>
    <xf numFmtId="232" fontId="162" fillId="0" borderId="2" xfId="4269" applyNumberFormat="1" applyFont="1" applyFill="1" applyBorder="1" applyAlignment="1">
      <alignment horizontal="left" vertical="center" wrapText="1"/>
    </xf>
    <xf numFmtId="0" fontId="133" fillId="0" borderId="2" xfId="4274" applyFont="1" applyFill="1" applyBorder="1" applyAlignment="1">
      <alignment vertical="center" wrapText="1"/>
    </xf>
    <xf numFmtId="244" fontId="274" fillId="0" borderId="2" xfId="4260" quotePrefix="1" applyNumberFormat="1" applyFont="1" applyFill="1" applyBorder="1" applyAlignment="1">
      <alignment horizontal="right" vertical="center" wrapText="1"/>
    </xf>
    <xf numFmtId="244" fontId="279" fillId="0" borderId="2" xfId="4260" quotePrefix="1" applyNumberFormat="1" applyFont="1" applyFill="1" applyBorder="1" applyAlignment="1">
      <alignment horizontal="right" vertical="center" wrapText="1"/>
    </xf>
    <xf numFmtId="49" fontId="279" fillId="0" borderId="2" xfId="1" applyNumberFormat="1" applyFont="1" applyFill="1" applyBorder="1" applyAlignment="1">
      <alignment horizontal="center" vertical="center"/>
    </xf>
    <xf numFmtId="3" fontId="275" fillId="0" borderId="2" xfId="0" applyNumberFormat="1" applyFont="1" applyFill="1" applyBorder="1" applyAlignment="1">
      <alignment horizontal="center" vertical="center" wrapText="1"/>
    </xf>
    <xf numFmtId="0" fontId="274" fillId="0" borderId="2" xfId="0" applyFont="1" applyFill="1" applyBorder="1" applyAlignment="1">
      <alignment vertical="center" wrapText="1"/>
    </xf>
    <xf numFmtId="1" fontId="280" fillId="0" borderId="1" xfId="1" applyNumberFormat="1" applyFont="1" applyFill="1" applyBorder="1" applyAlignment="1">
      <alignment horizontal="center" vertical="center" wrapText="1"/>
    </xf>
    <xf numFmtId="1" fontId="277" fillId="0" borderId="6" xfId="1" applyNumberFormat="1" applyFont="1" applyFill="1" applyBorder="1" applyAlignment="1">
      <alignment vertical="center" wrapText="1"/>
    </xf>
    <xf numFmtId="0" fontId="41" fillId="0" borderId="0" xfId="4276" applyFont="1" applyFill="1" applyAlignment="1">
      <alignment vertical="center"/>
    </xf>
    <xf numFmtId="335" fontId="41" fillId="0" borderId="0" xfId="4276" applyNumberFormat="1" applyFont="1" applyFill="1" applyAlignment="1">
      <alignment vertical="center"/>
    </xf>
    <xf numFmtId="0" fontId="41" fillId="0" borderId="2" xfId="4276" applyFont="1" applyFill="1" applyBorder="1" applyAlignment="1">
      <alignment horizontal="center" vertical="center"/>
    </xf>
    <xf numFmtId="0" fontId="41" fillId="0" borderId="2" xfId="4276" applyFont="1" applyFill="1" applyBorder="1" applyAlignment="1">
      <alignment vertical="center"/>
    </xf>
    <xf numFmtId="0" fontId="285" fillId="0" borderId="2" xfId="4276" applyFont="1" applyFill="1" applyBorder="1" applyAlignment="1">
      <alignment horizontal="center" vertical="center"/>
    </xf>
    <xf numFmtId="4" fontId="41" fillId="0" borderId="2" xfId="4276" applyNumberFormat="1" applyFont="1" applyFill="1" applyBorder="1" applyAlignment="1">
      <alignment horizontal="center" vertical="center"/>
    </xf>
    <xf numFmtId="4" fontId="41" fillId="0" borderId="2" xfId="4276" applyNumberFormat="1" applyFont="1" applyFill="1" applyBorder="1" applyAlignment="1">
      <alignment vertical="center"/>
    </xf>
    <xf numFmtId="4" fontId="285" fillId="0" borderId="0" xfId="4276" applyNumberFormat="1" applyFont="1" applyFill="1" applyAlignment="1">
      <alignment vertical="center"/>
    </xf>
    <xf numFmtId="0" fontId="285" fillId="0" borderId="0" xfId="4276" applyFont="1" applyFill="1" applyAlignment="1">
      <alignment vertical="center"/>
    </xf>
    <xf numFmtId="2" fontId="285" fillId="0" borderId="0" xfId="4276" applyNumberFormat="1" applyFont="1" applyFill="1" applyAlignment="1">
      <alignment vertical="center"/>
    </xf>
    <xf numFmtId="0" fontId="41" fillId="0" borderId="2" xfId="4276" applyFont="1" applyFill="1" applyBorder="1" applyAlignment="1">
      <alignment horizontal="left" vertical="center"/>
    </xf>
    <xf numFmtId="0" fontId="38" fillId="0" borderId="2" xfId="4276" applyFont="1" applyFill="1" applyBorder="1" applyAlignment="1">
      <alignment horizontal="center" vertical="center"/>
    </xf>
    <xf numFmtId="336" fontId="41" fillId="0" borderId="2" xfId="4276" applyNumberFormat="1" applyFont="1" applyFill="1" applyBorder="1" applyAlignment="1">
      <alignment vertical="center"/>
    </xf>
    <xf numFmtId="3" fontId="41" fillId="0" borderId="0" xfId="4276" applyNumberFormat="1" applyFont="1" applyFill="1" applyAlignment="1">
      <alignment vertical="center"/>
    </xf>
    <xf numFmtId="1" fontId="41" fillId="0" borderId="0" xfId="4276" applyNumberFormat="1" applyFont="1" applyFill="1" applyAlignment="1">
      <alignment vertical="center"/>
    </xf>
    <xf numFmtId="0" fontId="286" fillId="0" borderId="0" xfId="4276" applyFont="1" applyFill="1" applyAlignment="1">
      <alignment vertical="center"/>
    </xf>
    <xf numFmtId="0" fontId="281" fillId="0" borderId="2" xfId="4276" applyFont="1" applyFill="1" applyBorder="1" applyAlignment="1">
      <alignment horizontal="center" vertical="center"/>
    </xf>
    <xf numFmtId="0" fontId="281" fillId="0" borderId="2" xfId="4276" applyFont="1" applyFill="1" applyBorder="1" applyAlignment="1">
      <alignment vertical="center"/>
    </xf>
    <xf numFmtId="3" fontId="281" fillId="0" borderId="2" xfId="4276" applyNumberFormat="1" applyFont="1" applyFill="1" applyBorder="1" applyAlignment="1">
      <alignment horizontal="center" vertical="center"/>
    </xf>
    <xf numFmtId="3" fontId="281" fillId="0" borderId="2" xfId="4276" applyNumberFormat="1" applyFont="1" applyFill="1" applyBorder="1" applyAlignment="1">
      <alignment vertical="center"/>
    </xf>
    <xf numFmtId="3" fontId="281" fillId="0" borderId="0" xfId="4276" applyNumberFormat="1" applyFont="1" applyFill="1" applyAlignment="1">
      <alignment vertical="center"/>
    </xf>
    <xf numFmtId="0" fontId="281" fillId="0" borderId="0" xfId="4276" applyFont="1" applyFill="1" applyAlignment="1">
      <alignment vertical="center"/>
    </xf>
    <xf numFmtId="1" fontId="281" fillId="0" borderId="0" xfId="4276" applyNumberFormat="1" applyFont="1" applyFill="1" applyAlignment="1">
      <alignment vertical="center"/>
    </xf>
    <xf numFmtId="0" fontId="287" fillId="0" borderId="0" xfId="4276" applyFont="1" applyFill="1" applyAlignment="1">
      <alignment vertical="center"/>
    </xf>
    <xf numFmtId="0" fontId="46" fillId="0" borderId="2" xfId="4276" applyFont="1" applyFill="1" applyBorder="1" applyAlignment="1">
      <alignment vertical="center"/>
    </xf>
    <xf numFmtId="3" fontId="38" fillId="0" borderId="2" xfId="4276" applyNumberFormat="1" applyFont="1" applyFill="1" applyBorder="1" applyAlignment="1">
      <alignment horizontal="center" vertical="center"/>
    </xf>
    <xf numFmtId="4" fontId="38" fillId="0" borderId="2" xfId="4276" applyNumberFormat="1" applyFont="1" applyFill="1" applyBorder="1" applyAlignment="1">
      <alignment vertical="center"/>
    </xf>
    <xf numFmtId="3" fontId="38" fillId="0" borderId="2" xfId="4276" applyNumberFormat="1" applyFont="1" applyFill="1" applyBorder="1" applyAlignment="1">
      <alignment vertical="center"/>
    </xf>
    <xf numFmtId="3" fontId="38" fillId="0" borderId="0" xfId="4276" applyNumberFormat="1" applyFont="1" applyFill="1" applyAlignment="1">
      <alignment vertical="center"/>
    </xf>
    <xf numFmtId="0" fontId="38" fillId="0" borderId="0" xfId="4276" applyFont="1" applyFill="1" applyAlignment="1">
      <alignment vertical="center"/>
    </xf>
    <xf numFmtId="1" fontId="38" fillId="0" borderId="0" xfId="4276" applyNumberFormat="1" applyFont="1" applyFill="1" applyAlignment="1">
      <alignment vertical="center"/>
    </xf>
    <xf numFmtId="0" fontId="288" fillId="0" borderId="0" xfId="4276" applyFont="1" applyFill="1" applyAlignment="1">
      <alignment vertical="center"/>
    </xf>
    <xf numFmtId="0" fontId="38" fillId="0" borderId="2" xfId="4276" applyFont="1" applyFill="1" applyBorder="1" applyAlignment="1">
      <alignment vertical="center"/>
    </xf>
    <xf numFmtId="4" fontId="38" fillId="0" borderId="2" xfId="4276" applyNumberFormat="1" applyFont="1" applyFill="1" applyBorder="1" applyAlignment="1">
      <alignment horizontal="center" vertical="center"/>
    </xf>
    <xf numFmtId="232" fontId="38" fillId="0" borderId="2" xfId="1618" applyNumberFormat="1" applyFont="1" applyFill="1" applyBorder="1" applyAlignment="1">
      <alignment vertical="center"/>
    </xf>
    <xf numFmtId="0" fontId="289" fillId="0" borderId="0" xfId="4276" applyFont="1" applyFill="1" applyAlignment="1">
      <alignment vertical="center"/>
    </xf>
    <xf numFmtId="0" fontId="290" fillId="0" borderId="0" xfId="4276" applyFont="1" applyFill="1" applyAlignment="1">
      <alignment vertical="center"/>
    </xf>
    <xf numFmtId="4" fontId="38" fillId="0" borderId="0" xfId="4276" applyNumberFormat="1" applyFont="1" applyFill="1" applyAlignment="1">
      <alignment vertical="center"/>
    </xf>
    <xf numFmtId="0" fontId="26" fillId="0" borderId="2" xfId="4276" applyFont="1" applyFill="1" applyBorder="1" applyAlignment="1">
      <alignment horizontal="center" vertical="center"/>
    </xf>
    <xf numFmtId="0" fontId="26" fillId="0" borderId="2" xfId="4276" applyFont="1" applyFill="1" applyBorder="1" applyAlignment="1">
      <alignment vertical="center"/>
    </xf>
    <xf numFmtId="3" fontId="26" fillId="0" borderId="2" xfId="4276" applyNumberFormat="1" applyFont="1" applyFill="1" applyBorder="1" applyAlignment="1">
      <alignment horizontal="center" vertical="center"/>
    </xf>
    <xf numFmtId="337" fontId="26" fillId="0" borderId="2" xfId="4276" applyNumberFormat="1" applyFont="1" applyFill="1" applyBorder="1" applyAlignment="1">
      <alignment vertical="center"/>
    </xf>
    <xf numFmtId="3" fontId="26" fillId="0" borderId="0" xfId="4276" applyNumberFormat="1" applyFont="1" applyFill="1" applyAlignment="1">
      <alignment vertical="center"/>
    </xf>
    <xf numFmtId="0" fontId="26" fillId="0" borderId="0" xfId="4276" applyFont="1" applyFill="1" applyAlignment="1">
      <alignment vertical="center"/>
    </xf>
    <xf numFmtId="1" fontId="26" fillId="0" borderId="0" xfId="4276" applyNumberFormat="1" applyFont="1" applyFill="1" applyAlignment="1">
      <alignment vertical="center"/>
    </xf>
    <xf numFmtId="0" fontId="291" fillId="0" borderId="0" xfId="4276" applyFont="1" applyFill="1" applyAlignment="1">
      <alignment vertical="center"/>
    </xf>
    <xf numFmtId="43" fontId="38" fillId="0" borderId="2" xfId="4276" applyNumberFormat="1" applyFont="1" applyFill="1" applyBorder="1" applyAlignment="1">
      <alignment vertical="center"/>
    </xf>
    <xf numFmtId="0" fontId="292" fillId="0" borderId="0" xfId="4276" applyFont="1" applyFill="1" applyAlignment="1">
      <alignment vertical="center"/>
    </xf>
    <xf numFmtId="3" fontId="41" fillId="0" borderId="2" xfId="4276" applyNumberFormat="1" applyFont="1" applyFill="1" applyBorder="1" applyAlignment="1">
      <alignment vertical="center"/>
    </xf>
    <xf numFmtId="0" fontId="293" fillId="0" borderId="0" xfId="4276" applyFont="1" applyFill="1" applyAlignment="1">
      <alignment vertical="center"/>
    </xf>
    <xf numFmtId="4" fontId="281" fillId="0" borderId="2" xfId="11" applyNumberFormat="1" applyFont="1" applyFill="1" applyBorder="1" applyAlignment="1">
      <alignment horizontal="center" vertical="center"/>
    </xf>
    <xf numFmtId="336" fontId="281" fillId="0" borderId="2" xfId="4276" applyNumberFormat="1" applyFont="1" applyFill="1" applyBorder="1" applyAlignment="1">
      <alignment vertical="center"/>
    </xf>
    <xf numFmtId="337" fontId="281" fillId="0" borderId="2" xfId="4276" applyNumberFormat="1" applyFont="1" applyFill="1" applyBorder="1" applyAlignment="1">
      <alignment vertical="center"/>
    </xf>
    <xf numFmtId="337" fontId="38" fillId="0" borderId="2" xfId="4276" applyNumberFormat="1" applyFont="1" applyFill="1" applyBorder="1" applyAlignment="1">
      <alignment horizontal="center" vertical="center"/>
    </xf>
    <xf numFmtId="335" fontId="38" fillId="0" borderId="0" xfId="4276" applyNumberFormat="1" applyFont="1" applyFill="1" applyAlignment="1">
      <alignment vertical="center"/>
    </xf>
    <xf numFmtId="0" fontId="281" fillId="0" borderId="2" xfId="11" applyFont="1" applyFill="1" applyBorder="1" applyAlignment="1">
      <alignment horizontal="center" vertical="center"/>
    </xf>
    <xf numFmtId="0" fontId="281" fillId="0" borderId="2" xfId="11" applyFont="1" applyFill="1" applyBorder="1" applyAlignment="1">
      <alignment vertical="center"/>
    </xf>
    <xf numFmtId="4" fontId="281" fillId="0" borderId="2" xfId="11" applyNumberFormat="1" applyFont="1" applyFill="1" applyBorder="1" applyAlignment="1">
      <alignment vertical="center"/>
    </xf>
    <xf numFmtId="1" fontId="41" fillId="0" borderId="0" xfId="11" applyNumberFormat="1" applyFont="1" applyFill="1" applyAlignment="1">
      <alignment vertical="center"/>
    </xf>
    <xf numFmtId="0" fontId="281" fillId="0" borderId="0" xfId="11" applyFont="1" applyFill="1" applyAlignment="1">
      <alignment vertical="center"/>
    </xf>
    <xf numFmtId="0" fontId="38" fillId="0" borderId="2" xfId="11" applyFont="1" applyFill="1" applyBorder="1" applyAlignment="1">
      <alignment horizontal="center" vertical="center"/>
    </xf>
    <xf numFmtId="0" fontId="38" fillId="0" borderId="2" xfId="11" applyFont="1" applyFill="1" applyBorder="1" applyAlignment="1">
      <alignment vertical="center" wrapText="1"/>
    </xf>
    <xf numFmtId="4" fontId="38" fillId="0" borderId="2" xfId="11" applyNumberFormat="1" applyFont="1" applyFill="1" applyBorder="1" applyAlignment="1">
      <alignment horizontal="center" vertical="center"/>
    </xf>
    <xf numFmtId="4" fontId="38" fillId="0" borderId="2" xfId="11" applyNumberFormat="1" applyFont="1" applyFill="1" applyBorder="1" applyAlignment="1">
      <alignment vertical="center"/>
    </xf>
    <xf numFmtId="3" fontId="26" fillId="0" borderId="0" xfId="11" quotePrefix="1" applyNumberFormat="1" applyFont="1" applyFill="1" applyAlignment="1">
      <alignment vertical="center"/>
    </xf>
    <xf numFmtId="0" fontId="38" fillId="0" borderId="0" xfId="11" applyFont="1" applyFill="1" applyAlignment="1">
      <alignment vertical="center"/>
    </xf>
    <xf numFmtId="1" fontId="38" fillId="0" borderId="0" xfId="11" applyNumberFormat="1" applyFont="1" applyFill="1" applyAlignment="1">
      <alignment vertical="center"/>
    </xf>
    <xf numFmtId="276" fontId="38" fillId="0" borderId="0" xfId="11" applyNumberFormat="1" applyFont="1" applyFill="1" applyAlignment="1">
      <alignment vertical="center"/>
    </xf>
    <xf numFmtId="0" fontId="38" fillId="0" borderId="2" xfId="11" applyFont="1" applyFill="1" applyBorder="1" applyAlignment="1">
      <alignment horizontal="center" vertical="center" wrapText="1"/>
    </xf>
    <xf numFmtId="3" fontId="38" fillId="0" borderId="2" xfId="11" applyNumberFormat="1" applyFont="1" applyFill="1" applyBorder="1" applyAlignment="1">
      <alignment vertical="center"/>
    </xf>
    <xf numFmtId="3" fontId="38" fillId="0" borderId="0" xfId="11" applyNumberFormat="1" applyFont="1" applyFill="1" applyAlignment="1">
      <alignment vertical="center"/>
    </xf>
    <xf numFmtId="0" fontId="38" fillId="0" borderId="2" xfId="11" applyFont="1" applyFill="1" applyBorder="1" applyAlignment="1">
      <alignment vertical="center"/>
    </xf>
    <xf numFmtId="2" fontId="38" fillId="0" borderId="2" xfId="11" applyNumberFormat="1" applyFont="1" applyFill="1" applyBorder="1" applyAlignment="1">
      <alignment horizontal="center" vertical="center"/>
    </xf>
    <xf numFmtId="4" fontId="281" fillId="0" borderId="2" xfId="4276" applyNumberFormat="1" applyFont="1" applyFill="1" applyBorder="1" applyAlignment="1">
      <alignment horizontal="center" vertical="center"/>
    </xf>
    <xf numFmtId="4" fontId="281" fillId="0" borderId="2" xfId="4276" applyNumberFormat="1" applyFont="1" applyFill="1" applyBorder="1" applyAlignment="1">
      <alignment vertical="center"/>
    </xf>
    <xf numFmtId="0" fontId="26" fillId="0" borderId="2" xfId="11" applyFont="1" applyFill="1" applyBorder="1" applyAlignment="1">
      <alignment vertical="center"/>
    </xf>
    <xf numFmtId="0" fontId="26" fillId="0" borderId="2" xfId="11" applyFont="1" applyFill="1" applyBorder="1" applyAlignment="1">
      <alignment horizontal="center" vertical="center"/>
    </xf>
    <xf numFmtId="4" fontId="26" fillId="0" borderId="2" xfId="11" applyNumberFormat="1" applyFont="1" applyFill="1" applyBorder="1" applyAlignment="1">
      <alignment horizontal="center" vertical="center"/>
    </xf>
    <xf numFmtId="4" fontId="26" fillId="0" borderId="2" xfId="11" applyNumberFormat="1" applyFont="1" applyFill="1" applyBorder="1" applyAlignment="1">
      <alignment vertical="center"/>
    </xf>
    <xf numFmtId="0" fontId="294" fillId="0" borderId="2" xfId="11" applyFont="1" applyFill="1" applyBorder="1" applyAlignment="1">
      <alignment vertical="center" wrapText="1"/>
    </xf>
    <xf numFmtId="4" fontId="26" fillId="0" borderId="2" xfId="11" applyNumberFormat="1" applyFont="1" applyFill="1" applyBorder="1" applyAlignment="1">
      <alignment horizontal="right" vertical="center"/>
    </xf>
    <xf numFmtId="4" fontId="26" fillId="0" borderId="2" xfId="4276" applyNumberFormat="1" applyFont="1" applyFill="1" applyBorder="1" applyAlignment="1">
      <alignment vertical="center"/>
    </xf>
    <xf numFmtId="2" fontId="41" fillId="0" borderId="0" xfId="4276" applyNumberFormat="1" applyFont="1" applyFill="1" applyAlignment="1">
      <alignment vertical="center"/>
    </xf>
    <xf numFmtId="0" fontId="38" fillId="0" borderId="2" xfId="4276" applyFont="1" applyFill="1" applyBorder="1" applyAlignment="1">
      <alignment vertical="center" wrapText="1"/>
    </xf>
    <xf numFmtId="0" fontId="46" fillId="0" borderId="2" xfId="4276" applyFont="1" applyFill="1" applyBorder="1" applyAlignment="1">
      <alignment horizontal="center" vertical="center"/>
    </xf>
    <xf numFmtId="336" fontId="38" fillId="0" borderId="2" xfId="4276" applyNumberFormat="1" applyFont="1" applyFill="1" applyBorder="1" applyAlignment="1">
      <alignment vertical="center"/>
    </xf>
    <xf numFmtId="0" fontId="281" fillId="0" borderId="2" xfId="4276" applyFont="1" applyFill="1" applyBorder="1" applyAlignment="1">
      <alignment vertical="center" wrapText="1"/>
    </xf>
    <xf numFmtId="335" fontId="281" fillId="0" borderId="0" xfId="4276" applyNumberFormat="1" applyFont="1" applyFill="1" applyAlignment="1">
      <alignment vertical="center"/>
    </xf>
    <xf numFmtId="0" fontId="41" fillId="0" borderId="2" xfId="4276" applyFont="1" applyFill="1" applyBorder="1" applyAlignment="1">
      <alignment vertical="center" wrapText="1"/>
    </xf>
    <xf numFmtId="3" fontId="41" fillId="0" borderId="2" xfId="4276" applyNumberFormat="1" applyFont="1" applyFill="1" applyBorder="1" applyAlignment="1">
      <alignment horizontal="center" vertical="center"/>
    </xf>
    <xf numFmtId="3" fontId="26" fillId="0" borderId="0" xfId="4276" applyNumberFormat="1" applyFont="1" applyFill="1" applyBorder="1" applyAlignment="1">
      <alignment vertical="center"/>
    </xf>
    <xf numFmtId="0" fontId="41" fillId="0" borderId="0" xfId="4276" applyFont="1" applyFill="1" applyBorder="1" applyAlignment="1">
      <alignment vertical="center"/>
    </xf>
    <xf numFmtId="1" fontId="41" fillId="0" borderId="0" xfId="4276" applyNumberFormat="1" applyFont="1" applyFill="1" applyBorder="1" applyAlignment="1">
      <alignment vertical="center"/>
    </xf>
    <xf numFmtId="0" fontId="293" fillId="0" borderId="0" xfId="4276" applyFont="1" applyFill="1" applyBorder="1" applyAlignment="1">
      <alignment vertical="center"/>
    </xf>
    <xf numFmtId="3" fontId="41" fillId="0" borderId="0" xfId="4276" applyNumberFormat="1" applyFont="1" applyFill="1" applyBorder="1" applyAlignment="1">
      <alignment vertical="center"/>
    </xf>
    <xf numFmtId="0" fontId="281" fillId="0" borderId="0" xfId="4276" applyFont="1" applyFill="1" applyBorder="1" applyAlignment="1">
      <alignment vertical="center"/>
    </xf>
    <xf numFmtId="1" fontId="281" fillId="0" borderId="0" xfId="4276" applyNumberFormat="1" applyFont="1" applyFill="1" applyBorder="1" applyAlignment="1">
      <alignment vertical="center"/>
    </xf>
    <xf numFmtId="0" fontId="289" fillId="0" borderId="0" xfId="4276" applyFont="1" applyFill="1" applyBorder="1" applyAlignment="1">
      <alignment vertical="center"/>
    </xf>
    <xf numFmtId="9" fontId="281" fillId="0" borderId="2" xfId="4276" applyNumberFormat="1" applyFont="1" applyFill="1" applyBorder="1" applyAlignment="1">
      <alignment horizontal="center" vertical="center"/>
    </xf>
    <xf numFmtId="0" fontId="281" fillId="0" borderId="2" xfId="4276" applyFont="1" applyFill="1" applyBorder="1" applyAlignment="1">
      <alignment horizontal="left" vertical="center" wrapText="1"/>
    </xf>
    <xf numFmtId="0" fontId="290" fillId="0" borderId="2" xfId="4276" applyFont="1" applyFill="1" applyBorder="1" applyAlignment="1">
      <alignment horizontal="left" vertical="center" wrapText="1"/>
    </xf>
    <xf numFmtId="3" fontId="38" fillId="0" borderId="0" xfId="4276" applyNumberFormat="1" applyFont="1" applyFill="1" applyBorder="1" applyAlignment="1">
      <alignment vertical="center"/>
    </xf>
    <xf numFmtId="0" fontId="38" fillId="0" borderId="0" xfId="4276" applyFont="1" applyFill="1" applyBorder="1" applyAlignment="1">
      <alignment vertical="center"/>
    </xf>
    <xf numFmtId="0" fontId="292" fillId="0" borderId="0" xfId="4276" applyFont="1" applyFill="1" applyBorder="1" applyAlignment="1">
      <alignment vertical="center"/>
    </xf>
    <xf numFmtId="336" fontId="26" fillId="0" borderId="2" xfId="4276" applyNumberFormat="1" applyFont="1" applyFill="1" applyBorder="1" applyAlignment="1">
      <alignment vertical="center"/>
    </xf>
    <xf numFmtId="0" fontId="26" fillId="0" borderId="0" xfId="4276" applyFont="1" applyFill="1" applyBorder="1" applyAlignment="1">
      <alignment vertical="center"/>
    </xf>
    <xf numFmtId="0" fontId="291" fillId="0" borderId="0" xfId="4276" applyFont="1" applyFill="1" applyBorder="1" applyAlignment="1">
      <alignment vertical="center"/>
    </xf>
    <xf numFmtId="3" fontId="38" fillId="0" borderId="2" xfId="4276" applyNumberFormat="1" applyFont="1" applyFill="1" applyBorder="1" applyAlignment="1">
      <alignment horizontal="right" vertical="center"/>
    </xf>
    <xf numFmtId="0" fontId="288" fillId="0" borderId="0" xfId="4276" applyFont="1" applyFill="1" applyBorder="1" applyAlignment="1">
      <alignment vertical="center"/>
    </xf>
    <xf numFmtId="0" fontId="294" fillId="0" borderId="2" xfId="4276" applyFont="1" applyFill="1" applyBorder="1" applyAlignment="1">
      <alignment horizontal="left" vertical="center"/>
    </xf>
    <xf numFmtId="3" fontId="26" fillId="0" borderId="2" xfId="4276" applyNumberFormat="1" applyFont="1" applyFill="1" applyBorder="1" applyAlignment="1">
      <alignment vertical="center"/>
    </xf>
    <xf numFmtId="3" fontId="281" fillId="0" borderId="0" xfId="4276" applyNumberFormat="1" applyFont="1" applyFill="1" applyBorder="1" applyAlignment="1">
      <alignment vertical="center"/>
    </xf>
    <xf numFmtId="0" fontId="38" fillId="0" borderId="0" xfId="4276" applyFont="1" applyFill="1" applyAlignment="1">
      <alignment horizontal="center" vertical="center"/>
    </xf>
    <xf numFmtId="0" fontId="295" fillId="0" borderId="0" xfId="4276" applyFont="1" applyFill="1" applyAlignment="1">
      <alignment vertical="center"/>
    </xf>
    <xf numFmtId="175" fontId="133" fillId="0" borderId="2" xfId="28" applyNumberFormat="1" applyFont="1" applyFill="1" applyBorder="1" applyAlignment="1">
      <alignment horizontal="center" vertical="center" wrapText="1"/>
    </xf>
    <xf numFmtId="3" fontId="274" fillId="0" borderId="2" xfId="4275" applyNumberFormat="1" applyFont="1" applyFill="1" applyBorder="1" applyAlignment="1">
      <alignment horizontal="right" vertical="center" wrapText="1"/>
    </xf>
    <xf numFmtId="244" fontId="296" fillId="0" borderId="2" xfId="4260" applyNumberFormat="1" applyFont="1" applyFill="1" applyBorder="1" applyAlignment="1">
      <alignment horizontal="right" vertical="center" wrapText="1"/>
    </xf>
    <xf numFmtId="244" fontId="296" fillId="0" borderId="2" xfId="4260" quotePrefix="1" applyNumberFormat="1" applyFont="1" applyFill="1" applyBorder="1" applyAlignment="1">
      <alignment horizontal="right" vertical="center" wrapText="1"/>
    </xf>
    <xf numFmtId="1" fontId="296" fillId="0" borderId="0" xfId="1" applyNumberFormat="1" applyFont="1" applyFill="1" applyAlignment="1">
      <alignment vertical="center"/>
    </xf>
    <xf numFmtId="3" fontId="296" fillId="0" borderId="2" xfId="3" quotePrefix="1" applyNumberFormat="1" applyFont="1" applyFill="1" applyBorder="1" applyAlignment="1">
      <alignment horizontal="center" vertical="center" wrapText="1"/>
    </xf>
    <xf numFmtId="1" fontId="296" fillId="0" borderId="2" xfId="3" applyNumberFormat="1" applyFont="1" applyFill="1" applyBorder="1" applyAlignment="1">
      <alignment horizontal="left" vertical="center" wrapText="1"/>
    </xf>
    <xf numFmtId="0" fontId="296" fillId="0" borderId="2" xfId="4274" applyFont="1" applyFill="1" applyBorder="1" applyAlignment="1">
      <alignment vertical="center" wrapText="1"/>
    </xf>
    <xf numFmtId="3" fontId="296" fillId="0" borderId="2" xfId="3" applyNumberFormat="1" applyFont="1" applyFill="1" applyBorder="1" applyAlignment="1">
      <alignment horizontal="center" vertical="center" wrapText="1"/>
    </xf>
    <xf numFmtId="175" fontId="296" fillId="0" borderId="2" xfId="1635" applyNumberFormat="1" applyFont="1" applyFill="1" applyBorder="1" applyAlignment="1">
      <alignment horizontal="center" vertical="center"/>
    </xf>
    <xf numFmtId="175" fontId="296" fillId="0" borderId="2" xfId="28" applyNumberFormat="1" applyFont="1" applyFill="1" applyBorder="1" applyAlignment="1">
      <alignment horizontal="center" vertical="center" wrapText="1"/>
    </xf>
    <xf numFmtId="3" fontId="296" fillId="0" borderId="2" xfId="4275" applyNumberFormat="1" applyFont="1" applyFill="1" applyBorder="1" applyAlignment="1">
      <alignment horizontal="right" vertical="center" wrapText="1"/>
    </xf>
    <xf numFmtId="0" fontId="296" fillId="0" borderId="2" xfId="0" applyFont="1" applyFill="1" applyBorder="1" applyAlignment="1">
      <alignment horizontal="center" vertical="center" wrapText="1"/>
    </xf>
    <xf numFmtId="244" fontId="133" fillId="0" borderId="15" xfId="4260" applyNumberFormat="1" applyFont="1" applyFill="1" applyBorder="1" applyAlignment="1">
      <alignment horizontal="center" vertical="center" wrapText="1"/>
    </xf>
    <xf numFmtId="3" fontId="276" fillId="0" borderId="2" xfId="1" quotePrefix="1" applyNumberFormat="1" applyFont="1" applyFill="1" applyBorder="1" applyAlignment="1">
      <alignment vertical="center" wrapText="1"/>
    </xf>
    <xf numFmtId="1" fontId="133" fillId="0" borderId="2" xfId="1" quotePrefix="1" applyNumberFormat="1" applyFont="1" applyFill="1" applyBorder="1" applyAlignment="1">
      <alignment horizontal="center" vertical="center" wrapText="1"/>
    </xf>
    <xf numFmtId="1" fontId="133" fillId="0" borderId="2" xfId="1" quotePrefix="1" applyNumberFormat="1" applyFont="1" applyFill="1" applyBorder="1" applyAlignment="1">
      <alignment vertical="center" wrapText="1"/>
    </xf>
    <xf numFmtId="3" fontId="276" fillId="0" borderId="2" xfId="1" quotePrefix="1" applyNumberFormat="1" applyFont="1" applyFill="1" applyBorder="1" applyAlignment="1">
      <alignment horizontal="right" vertical="center" wrapText="1"/>
    </xf>
    <xf numFmtId="0" fontId="274" fillId="0" borderId="2" xfId="2606" applyFont="1" applyFill="1" applyBorder="1" applyAlignment="1">
      <alignment horizontal="center" vertical="center" wrapText="1"/>
    </xf>
    <xf numFmtId="0" fontId="133" fillId="0" borderId="3" xfId="4263" quotePrefix="1" applyFont="1" applyFill="1" applyBorder="1" applyAlignment="1">
      <alignment horizontal="center" vertical="center" wrapText="1"/>
    </xf>
    <xf numFmtId="1" fontId="133" fillId="0" borderId="5" xfId="1" applyNumberFormat="1" applyFont="1" applyFill="1" applyBorder="1" applyAlignment="1">
      <alignment horizontal="center" vertical="center" wrapText="1"/>
    </xf>
    <xf numFmtId="2" fontId="133" fillId="0" borderId="2" xfId="4268" applyNumberFormat="1" applyFont="1" applyFill="1" applyBorder="1" applyAlignment="1">
      <alignment vertical="center" wrapText="1"/>
    </xf>
    <xf numFmtId="244" fontId="133" fillId="0" borderId="0" xfId="4260" applyNumberFormat="1" applyFont="1" applyFill="1" applyAlignment="1">
      <alignment horizontal="center" vertical="center" wrapText="1"/>
    </xf>
    <xf numFmtId="3" fontId="133" fillId="0" borderId="7" xfId="4268" applyNumberFormat="1" applyFont="1" applyFill="1" applyBorder="1" applyAlignment="1">
      <alignment vertical="center" wrapText="1"/>
    </xf>
    <xf numFmtId="3" fontId="133" fillId="0" borderId="2" xfId="1" applyNumberFormat="1" applyFont="1" applyFill="1" applyBorder="1" applyAlignment="1">
      <alignment horizontal="left" vertical="center" wrapText="1"/>
    </xf>
    <xf numFmtId="0" fontId="133" fillId="0" borderId="2" xfId="4274" applyNumberFormat="1" applyFont="1" applyFill="1" applyBorder="1" applyAlignment="1">
      <alignment vertical="center" wrapText="1"/>
    </xf>
    <xf numFmtId="49" fontId="273" fillId="0" borderId="2" xfId="1" applyNumberFormat="1" applyFont="1" applyFill="1" applyBorder="1" applyAlignment="1">
      <alignment horizontal="center" vertical="center"/>
    </xf>
    <xf numFmtId="1" fontId="273" fillId="0" borderId="2" xfId="1" applyNumberFormat="1" applyFont="1" applyFill="1" applyBorder="1" applyAlignment="1">
      <alignment vertical="center" wrapText="1"/>
    </xf>
    <xf numFmtId="244" fontId="273" fillId="0" borderId="2" xfId="4260" applyNumberFormat="1" applyFont="1" applyFill="1" applyBorder="1" applyAlignment="1">
      <alignment horizontal="center" vertical="center" wrapText="1"/>
    </xf>
    <xf numFmtId="244" fontId="273" fillId="0" borderId="2" xfId="4260" quotePrefix="1" applyNumberFormat="1" applyFont="1" applyFill="1" applyBorder="1" applyAlignment="1">
      <alignment horizontal="right" vertical="center" wrapText="1"/>
    </xf>
    <xf numFmtId="175" fontId="273" fillId="0" borderId="2" xfId="1776" applyNumberFormat="1" applyFont="1" applyFill="1" applyBorder="1" applyAlignment="1">
      <alignment horizontal="center" vertical="center" wrapText="1"/>
    </xf>
    <xf numFmtId="1" fontId="32" fillId="0" borderId="2" xfId="3" applyNumberFormat="1" applyFont="1" applyFill="1" applyBorder="1" applyAlignment="1">
      <alignment horizontal="center" vertical="center" wrapText="1"/>
    </xf>
    <xf numFmtId="1" fontId="121" fillId="0" borderId="2" xfId="3" applyNumberFormat="1" applyFont="1" applyFill="1" applyBorder="1" applyAlignment="1">
      <alignment horizontal="center" vertical="center" wrapText="1"/>
    </xf>
    <xf numFmtId="0" fontId="121" fillId="0" borderId="2" xfId="28" applyFont="1" applyFill="1" applyBorder="1" applyAlignment="1">
      <alignment horizontal="center" vertical="center" wrapText="1"/>
    </xf>
    <xf numFmtId="3" fontId="274" fillId="0" borderId="2" xfId="3" quotePrefix="1" applyNumberFormat="1" applyFont="1" applyFill="1" applyBorder="1" applyAlignment="1">
      <alignment horizontal="center" vertical="center" wrapText="1"/>
    </xf>
    <xf numFmtId="0" fontId="274" fillId="0" borderId="2" xfId="4274" applyNumberFormat="1" applyFont="1" applyFill="1" applyBorder="1" applyAlignment="1">
      <alignment vertical="center" wrapText="1"/>
    </xf>
    <xf numFmtId="3" fontId="274" fillId="0" borderId="2" xfId="1" quotePrefix="1" applyNumberFormat="1" applyFont="1" applyFill="1" applyBorder="1" applyAlignment="1">
      <alignment horizontal="left" vertical="center" wrapText="1"/>
    </xf>
    <xf numFmtId="244" fontId="274" fillId="0" borderId="2" xfId="4260" applyNumberFormat="1" applyFont="1" applyFill="1" applyBorder="1" applyAlignment="1">
      <alignment horizontal="center" vertical="center" wrapText="1"/>
    </xf>
    <xf numFmtId="175" fontId="274" fillId="0" borderId="2" xfId="1776" quotePrefix="1" applyNumberFormat="1" applyFont="1" applyFill="1" applyBorder="1" applyAlignment="1">
      <alignment horizontal="center" vertical="center" wrapText="1"/>
    </xf>
    <xf numFmtId="0" fontId="279" fillId="0" borderId="2" xfId="28" applyFont="1" applyFill="1" applyBorder="1" applyAlignment="1">
      <alignment horizontal="center" vertical="center" wrapText="1"/>
    </xf>
    <xf numFmtId="3" fontId="273" fillId="0" borderId="2" xfId="1" quotePrefix="1" applyNumberFormat="1" applyFont="1" applyFill="1" applyBorder="1" applyAlignment="1">
      <alignment horizontal="left" vertical="center" wrapText="1"/>
    </xf>
    <xf numFmtId="3" fontId="273" fillId="0" borderId="2" xfId="1" quotePrefix="1" applyNumberFormat="1" applyFont="1" applyFill="1" applyBorder="1" applyAlignment="1">
      <alignment horizontal="right" vertical="center" wrapText="1"/>
    </xf>
    <xf numFmtId="175" fontId="273" fillId="0" borderId="2" xfId="1776" quotePrefix="1" applyNumberFormat="1" applyFont="1" applyFill="1" applyBorder="1" applyAlignment="1">
      <alignment horizontal="center" vertical="center" wrapText="1"/>
    </xf>
    <xf numFmtId="1" fontId="278" fillId="0" borderId="2" xfId="1" applyNumberFormat="1" applyFont="1" applyFill="1" applyBorder="1" applyAlignment="1">
      <alignment horizontal="center" vertical="center" wrapText="1"/>
    </xf>
    <xf numFmtId="244" fontId="278" fillId="0" borderId="2" xfId="4260" applyNumberFormat="1" applyFont="1" applyFill="1" applyBorder="1" applyAlignment="1">
      <alignment horizontal="center" vertical="center" wrapText="1"/>
    </xf>
    <xf numFmtId="244" fontId="278" fillId="0" borderId="2" xfId="4260" quotePrefix="1" applyNumberFormat="1" applyFont="1" applyFill="1" applyBorder="1" applyAlignment="1">
      <alignment horizontal="right" vertical="center" wrapText="1"/>
    </xf>
    <xf numFmtId="175" fontId="278" fillId="0" borderId="2" xfId="1776" quotePrefix="1" applyNumberFormat="1" applyFont="1" applyFill="1" applyBorder="1" applyAlignment="1">
      <alignment horizontal="center" vertical="center" wrapText="1"/>
    </xf>
    <xf numFmtId="0" fontId="41" fillId="0" borderId="2" xfId="0" applyFont="1" applyFill="1" applyBorder="1" applyAlignment="1">
      <alignment vertical="center" wrapText="1"/>
    </xf>
    <xf numFmtId="244" fontId="279" fillId="0" borderId="2" xfId="4260" applyNumberFormat="1" applyFont="1" applyFill="1" applyBorder="1" applyAlignment="1">
      <alignment horizontal="center" vertical="center" wrapText="1"/>
    </xf>
    <xf numFmtId="0" fontId="296" fillId="0" borderId="2" xfId="0" applyFont="1" applyFill="1" applyBorder="1" applyAlignment="1">
      <alignment vertical="center" wrapText="1"/>
    </xf>
    <xf numFmtId="244" fontId="279" fillId="0" borderId="2" xfId="4260" applyNumberFormat="1" applyFont="1" applyFill="1" applyBorder="1" applyAlignment="1">
      <alignment horizontal="right" vertical="center" wrapText="1"/>
    </xf>
    <xf numFmtId="244" fontId="280" fillId="0" borderId="2" xfId="4260" applyNumberFormat="1" applyFont="1" applyFill="1" applyBorder="1" applyAlignment="1">
      <alignment horizontal="right" vertical="center" wrapText="1"/>
    </xf>
    <xf numFmtId="244" fontId="133" fillId="0" borderId="2" xfId="2678" applyNumberFormat="1" applyFont="1" applyFill="1" applyBorder="1" applyAlignment="1">
      <alignment horizontal="center" vertical="center" wrapText="1"/>
    </xf>
    <xf numFmtId="49" fontId="274" fillId="0" borderId="2" xfId="1" quotePrefix="1" applyNumberFormat="1" applyFont="1" applyFill="1" applyBorder="1" applyAlignment="1">
      <alignment horizontal="center" vertical="center"/>
    </xf>
    <xf numFmtId="175" fontId="274" fillId="0" borderId="2" xfId="28" applyNumberFormat="1" applyFont="1" applyFill="1" applyBorder="1" applyAlignment="1">
      <alignment horizontal="left" vertical="center" wrapText="1"/>
    </xf>
    <xf numFmtId="175" fontId="274" fillId="0" borderId="2" xfId="4269" applyNumberFormat="1" applyFont="1" applyFill="1" applyBorder="1" applyAlignment="1">
      <alignment horizontal="center" vertical="center" wrapText="1"/>
    </xf>
    <xf numFmtId="0" fontId="279" fillId="0" borderId="2" xfId="28" applyNumberFormat="1" applyFont="1" applyFill="1" applyBorder="1" applyAlignment="1">
      <alignment horizontal="center" vertical="center" wrapText="1"/>
    </xf>
    <xf numFmtId="3" fontId="279" fillId="0" borderId="2" xfId="1" quotePrefix="1" applyNumberFormat="1" applyFont="1" applyFill="1" applyBorder="1" applyAlignment="1">
      <alignment horizontal="center" vertical="center" wrapText="1"/>
    </xf>
    <xf numFmtId="1" fontId="273" fillId="0" borderId="0" xfId="1" applyNumberFormat="1" applyFont="1" applyFill="1" applyAlignment="1">
      <alignment vertical="center"/>
    </xf>
    <xf numFmtId="1" fontId="273" fillId="0" borderId="2" xfId="1" applyNumberFormat="1" applyFont="1" applyFill="1" applyBorder="1" applyAlignment="1">
      <alignment horizontal="center" vertical="center" wrapText="1"/>
    </xf>
    <xf numFmtId="49" fontId="274" fillId="0" borderId="2" xfId="28" applyNumberFormat="1" applyFont="1" applyFill="1" applyBorder="1" applyAlignment="1">
      <alignment vertical="center" wrapText="1"/>
    </xf>
    <xf numFmtId="49" fontId="274" fillId="0" borderId="2" xfId="1" applyNumberFormat="1" applyFont="1" applyFill="1" applyBorder="1" applyAlignment="1">
      <alignment horizontal="center" vertical="center"/>
    </xf>
    <xf numFmtId="3" fontId="274" fillId="0" borderId="2" xfId="0" applyNumberFormat="1" applyFont="1" applyFill="1" applyBorder="1" applyAlignment="1">
      <alignment horizontal="center" vertical="center" wrapText="1"/>
    </xf>
    <xf numFmtId="244" fontId="41" fillId="0" borderId="2" xfId="4260" applyNumberFormat="1" applyFont="1" applyFill="1" applyBorder="1" applyAlignment="1">
      <alignment horizontal="right" vertical="center" wrapText="1"/>
    </xf>
    <xf numFmtId="1" fontId="133" fillId="0" borderId="0" xfId="1" applyNumberFormat="1" applyFont="1" applyFill="1" applyAlignment="1">
      <alignment horizontal="right" vertical="center"/>
    </xf>
    <xf numFmtId="1" fontId="279" fillId="0" borderId="2" xfId="1" applyNumberFormat="1" applyFont="1" applyFill="1" applyBorder="1" applyAlignment="1">
      <alignment vertical="center" wrapText="1"/>
    </xf>
    <xf numFmtId="1" fontId="279" fillId="0" borderId="2" xfId="1" quotePrefix="1" applyNumberFormat="1" applyFont="1" applyFill="1" applyBorder="1" applyAlignment="1">
      <alignment horizontal="center" vertical="center" wrapText="1"/>
    </xf>
    <xf numFmtId="244" fontId="274" fillId="0" borderId="2" xfId="4260" applyNumberFormat="1" applyFont="1" applyFill="1" applyBorder="1" applyAlignment="1">
      <alignment horizontal="right" vertical="center" wrapText="1"/>
    </xf>
    <xf numFmtId="244" fontId="274" fillId="0" borderId="7" xfId="4260" quotePrefix="1" applyNumberFormat="1" applyFont="1" applyFill="1" applyBorder="1" applyAlignment="1">
      <alignment horizontal="right" vertical="center" wrapText="1"/>
    </xf>
    <xf numFmtId="3" fontId="274" fillId="0" borderId="2" xfId="28" applyNumberFormat="1" applyFont="1" applyFill="1" applyBorder="1" applyAlignment="1">
      <alignment horizontal="center" vertical="center" wrapText="1"/>
    </xf>
    <xf numFmtId="1" fontId="274" fillId="0" borderId="2" xfId="3" applyNumberFormat="1" applyFont="1" applyFill="1" applyBorder="1" applyAlignment="1">
      <alignment vertical="center" wrapText="1"/>
    </xf>
    <xf numFmtId="3" fontId="274" fillId="0" borderId="7" xfId="3" applyNumberFormat="1" applyFont="1" applyFill="1" applyBorder="1" applyAlignment="1">
      <alignment horizontal="center" vertical="center" wrapText="1"/>
    </xf>
    <xf numFmtId="0" fontId="274" fillId="0" borderId="2" xfId="4274" applyFont="1" applyFill="1" applyBorder="1" applyAlignment="1">
      <alignment vertical="center" wrapText="1"/>
    </xf>
    <xf numFmtId="49" fontId="279" fillId="0" borderId="2" xfId="1" quotePrefix="1" applyNumberFormat="1" applyFont="1" applyFill="1" applyBorder="1" applyAlignment="1">
      <alignment horizontal="center" vertical="center"/>
    </xf>
    <xf numFmtId="3" fontId="279" fillId="0" borderId="2" xfId="1" quotePrefix="1" applyNumberFormat="1" applyFont="1" applyFill="1" applyBorder="1" applyAlignment="1">
      <alignment vertical="center" wrapText="1"/>
    </xf>
    <xf numFmtId="244" fontId="273" fillId="0" borderId="2" xfId="4260" quotePrefix="1" applyNumberFormat="1" applyFont="1" applyFill="1" applyBorder="1" applyAlignment="1">
      <alignment horizontal="center" vertical="center" wrapText="1"/>
    </xf>
    <xf numFmtId="244" fontId="273" fillId="0" borderId="2" xfId="4260" applyNumberFormat="1" applyFont="1" applyFill="1" applyBorder="1" applyAlignment="1">
      <alignment horizontal="right" vertical="center" wrapText="1"/>
    </xf>
    <xf numFmtId="0" fontId="133" fillId="0" borderId="2" xfId="4274" applyFont="1" applyFill="1" applyBorder="1" applyAlignment="1">
      <alignment horizontal="center" vertical="center" wrapText="1"/>
    </xf>
    <xf numFmtId="175" fontId="133" fillId="0" borderId="2" xfId="1635" applyNumberFormat="1" applyFont="1" applyFill="1" applyBorder="1" applyAlignment="1">
      <alignment horizontal="center" vertical="center"/>
    </xf>
    <xf numFmtId="3" fontId="133" fillId="0" borderId="2" xfId="4275" applyNumberFormat="1" applyFont="1" applyFill="1" applyBorder="1" applyAlignment="1">
      <alignment horizontal="right" vertical="center" wrapText="1"/>
    </xf>
    <xf numFmtId="0" fontId="273" fillId="0" borderId="2" xfId="2678" applyNumberFormat="1" applyFont="1" applyFill="1" applyBorder="1" applyAlignment="1">
      <alignment vertical="center" wrapText="1"/>
    </xf>
    <xf numFmtId="175" fontId="273" fillId="0" borderId="2" xfId="1776" applyNumberFormat="1" applyFont="1" applyFill="1" applyBorder="1" applyAlignment="1">
      <alignment horizontal="left" vertical="center"/>
    </xf>
    <xf numFmtId="0" fontId="273" fillId="0" borderId="2" xfId="2678" applyFont="1" applyFill="1" applyBorder="1" applyAlignment="1">
      <alignment horizontal="center" vertical="center"/>
    </xf>
    <xf numFmtId="175" fontId="273" fillId="0" borderId="2" xfId="1776" applyNumberFormat="1" applyFont="1" applyFill="1" applyBorder="1" applyAlignment="1">
      <alignment horizontal="center" vertical="center"/>
    </xf>
    <xf numFmtId="49" fontId="277" fillId="0" borderId="2" xfId="3" quotePrefix="1" applyNumberFormat="1" applyFont="1" applyFill="1" applyBorder="1" applyAlignment="1">
      <alignment horizontal="center" vertical="center"/>
    </xf>
    <xf numFmtId="3" fontId="274" fillId="0" borderId="0" xfId="1" applyNumberFormat="1" applyFont="1" applyFill="1" applyBorder="1" applyAlignment="1">
      <alignment horizontal="center" vertical="center" wrapText="1"/>
    </xf>
    <xf numFmtId="244" fontId="133" fillId="0" borderId="7" xfId="4260" quotePrefix="1" applyNumberFormat="1" applyFont="1" applyFill="1" applyBorder="1" applyAlignment="1">
      <alignment horizontal="right" vertical="center" wrapText="1"/>
    </xf>
    <xf numFmtId="1" fontId="280" fillId="0" borderId="0" xfId="1" applyNumberFormat="1" applyFont="1" applyFill="1" applyBorder="1" applyAlignment="1">
      <alignment vertical="center"/>
    </xf>
    <xf numFmtId="1" fontId="280" fillId="0" borderId="0" xfId="1" applyNumberFormat="1" applyFont="1" applyFill="1" applyBorder="1" applyAlignment="1">
      <alignment horizontal="right" vertical="center"/>
    </xf>
    <xf numFmtId="3" fontId="280" fillId="0" borderId="0" xfId="1" applyNumberFormat="1" applyFont="1" applyFill="1" applyBorder="1" applyAlignment="1">
      <alignment vertical="center" wrapText="1"/>
    </xf>
    <xf numFmtId="3" fontId="280" fillId="0" borderId="1" xfId="1" applyNumberFormat="1" applyFont="1" applyFill="1" applyBorder="1" applyAlignment="1">
      <alignment vertical="center" wrapText="1"/>
    </xf>
    <xf numFmtId="244" fontId="133" fillId="0" borderId="15" xfId="4260" applyNumberFormat="1" applyFont="1" applyFill="1" applyBorder="1" applyAlignment="1">
      <alignment horizontal="right" vertical="center" wrapText="1"/>
    </xf>
    <xf numFmtId="244" fontId="133" fillId="0" borderId="0" xfId="4260" applyNumberFormat="1" applyFont="1" applyFill="1" applyAlignment="1">
      <alignment horizontal="right" vertical="center" wrapText="1"/>
    </xf>
    <xf numFmtId="3" fontId="38" fillId="0" borderId="2" xfId="3" quotePrefix="1" applyNumberFormat="1" applyFont="1" applyFill="1" applyBorder="1" applyAlignment="1">
      <alignment vertical="center" wrapText="1"/>
    </xf>
    <xf numFmtId="3" fontId="38" fillId="0" borderId="2" xfId="4264" applyNumberFormat="1" applyFont="1" applyFill="1" applyBorder="1" applyAlignment="1">
      <alignment horizontal="right" vertical="center" shrinkToFit="1"/>
    </xf>
    <xf numFmtId="244" fontId="133" fillId="0" borderId="2" xfId="28" applyNumberFormat="1" applyFont="1" applyFill="1" applyBorder="1" applyAlignment="1">
      <alignment horizontal="center" vertical="center" wrapText="1"/>
    </xf>
    <xf numFmtId="3" fontId="274" fillId="0" borderId="2" xfId="28" applyNumberFormat="1" applyFont="1" applyFill="1" applyBorder="1" applyAlignment="1">
      <alignment horizontal="left" vertical="center" wrapText="1"/>
    </xf>
    <xf numFmtId="3" fontId="274" fillId="0" borderId="2" xfId="1149" applyNumberFormat="1" applyFont="1" applyFill="1" applyBorder="1" applyAlignment="1">
      <alignment horizontal="center" vertical="center" wrapText="1"/>
    </xf>
    <xf numFmtId="1" fontId="162" fillId="0" borderId="0" xfId="1" applyNumberFormat="1" applyFont="1" applyFill="1" applyAlignment="1">
      <alignment horizontal="right" vertical="center" wrapText="1"/>
    </xf>
    <xf numFmtId="0" fontId="274" fillId="0" borderId="2" xfId="2606" applyFont="1" applyFill="1" applyBorder="1" applyAlignment="1">
      <alignment vertical="center" wrapText="1"/>
    </xf>
    <xf numFmtId="244" fontId="274" fillId="0" borderId="15" xfId="4260" applyNumberFormat="1" applyFont="1" applyFill="1" applyBorder="1" applyAlignment="1">
      <alignment horizontal="right" vertical="center" wrapText="1"/>
    </xf>
    <xf numFmtId="244" fontId="162" fillId="0" borderId="6" xfId="4260" applyNumberFormat="1" applyFont="1" applyFill="1" applyBorder="1" applyAlignment="1">
      <alignment horizontal="right" vertical="center" wrapText="1"/>
    </xf>
    <xf numFmtId="244" fontId="162" fillId="0" borderId="0" xfId="4260" applyNumberFormat="1" applyFont="1" applyFill="1" applyAlignment="1">
      <alignment horizontal="right" vertical="center" wrapText="1"/>
    </xf>
    <xf numFmtId="244" fontId="41" fillId="0" borderId="2" xfId="4260" quotePrefix="1" applyNumberFormat="1" applyFont="1" applyFill="1" applyBorder="1" applyAlignment="1">
      <alignment horizontal="right" vertical="center" wrapText="1"/>
    </xf>
    <xf numFmtId="175" fontId="133" fillId="0" borderId="0" xfId="1618" applyNumberFormat="1" applyFont="1" applyFill="1" applyAlignment="1">
      <alignment horizontal="right" vertical="center"/>
    </xf>
    <xf numFmtId="3" fontId="278" fillId="0" borderId="2" xfId="1" quotePrefix="1" applyNumberFormat="1" applyFont="1" applyFill="1" applyBorder="1" applyAlignment="1">
      <alignment horizontal="left" vertical="center" wrapText="1"/>
    </xf>
    <xf numFmtId="0" fontId="274" fillId="0" borderId="2" xfId="28" applyFont="1" applyFill="1" applyBorder="1" applyAlignment="1">
      <alignment horizontal="center" vertical="center" wrapText="1"/>
    </xf>
    <xf numFmtId="3" fontId="32"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right" vertical="center"/>
    </xf>
    <xf numFmtId="1" fontId="32" fillId="0" borderId="2" xfId="1" applyNumberFormat="1" applyFont="1" applyFill="1" applyBorder="1" applyAlignment="1">
      <alignment horizontal="center" vertical="center" wrapText="1"/>
    </xf>
    <xf numFmtId="1" fontId="121"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right" vertical="center" wrapText="1"/>
    </xf>
    <xf numFmtId="49" fontId="281" fillId="0" borderId="2" xfId="1" applyNumberFormat="1" applyFont="1" applyFill="1" applyBorder="1" applyAlignment="1">
      <alignment horizontal="center" vertical="center"/>
    </xf>
    <xf numFmtId="1" fontId="281" fillId="0" borderId="2" xfId="1" applyNumberFormat="1" applyFont="1" applyFill="1" applyBorder="1" applyAlignment="1">
      <alignment vertical="center" wrapText="1"/>
    </xf>
    <xf numFmtId="0" fontId="38" fillId="0" borderId="2" xfId="4273" applyFont="1" applyFill="1" applyBorder="1" applyAlignment="1">
      <alignment horizontal="left" vertical="center" wrapText="1"/>
    </xf>
    <xf numFmtId="3" fontId="133" fillId="0" borderId="2" xfId="1" applyNumberFormat="1" applyFont="1" applyFill="1" applyBorder="1" applyAlignment="1">
      <alignment horizontal="right" vertical="center"/>
    </xf>
    <xf numFmtId="3" fontId="133" fillId="0" borderId="2" xfId="1" applyNumberFormat="1" applyFont="1" applyFill="1" applyBorder="1" applyAlignment="1">
      <alignment horizontal="right" vertical="center" wrapText="1"/>
    </xf>
    <xf numFmtId="3" fontId="133" fillId="0" borderId="2" xfId="1" applyNumberFormat="1" applyFont="1" applyFill="1" applyBorder="1" applyAlignment="1">
      <alignment horizontal="center" vertical="center"/>
    </xf>
    <xf numFmtId="0" fontId="310" fillId="0" borderId="2" xfId="4274" applyNumberFormat="1" applyFont="1" applyFill="1" applyBorder="1" applyAlignment="1">
      <alignment vertical="center" wrapText="1"/>
    </xf>
    <xf numFmtId="0" fontId="311" fillId="0" borderId="2" xfId="0" applyFont="1" applyFill="1" applyBorder="1" applyAlignment="1">
      <alignment horizontal="center" vertical="center" wrapText="1"/>
    </xf>
    <xf numFmtId="244" fontId="133" fillId="0" borderId="2" xfId="5031" applyNumberFormat="1" applyFont="1" applyFill="1" applyBorder="1" applyAlignment="1">
      <alignment horizontal="right" vertical="center" wrapText="1"/>
    </xf>
    <xf numFmtId="244" fontId="133" fillId="0" borderId="2" xfId="5031" quotePrefix="1" applyNumberFormat="1" applyFont="1" applyFill="1" applyBorder="1" applyAlignment="1">
      <alignment horizontal="right" vertical="center" wrapText="1"/>
    </xf>
    <xf numFmtId="3" fontId="43" fillId="0" borderId="2" xfId="1" applyNumberFormat="1" applyFont="1" applyFill="1" applyBorder="1" applyAlignment="1">
      <alignment horizontal="center" vertical="center" wrapText="1"/>
    </xf>
    <xf numFmtId="0" fontId="38" fillId="0" borderId="2" xfId="4274" applyFont="1" applyFill="1" applyBorder="1" applyAlignment="1">
      <alignment vertical="center" wrapText="1"/>
    </xf>
    <xf numFmtId="0" fontId="312" fillId="0" borderId="2" xfId="0" applyFont="1" applyFill="1" applyBorder="1" applyAlignment="1">
      <alignment horizontal="center" vertical="center" wrapText="1"/>
    </xf>
    <xf numFmtId="244" fontId="133" fillId="0" borderId="2" xfId="4742" applyNumberFormat="1" applyFont="1" applyFill="1" applyBorder="1" applyAlignment="1">
      <alignment vertical="center" wrapText="1"/>
    </xf>
    <xf numFmtId="3" fontId="309" fillId="0" borderId="2" xfId="1" quotePrefix="1" applyNumberFormat="1" applyFont="1" applyFill="1" applyBorder="1" applyAlignment="1">
      <alignment vertical="center" wrapText="1"/>
    </xf>
    <xf numFmtId="0" fontId="32" fillId="0" borderId="2" xfId="4274" applyNumberFormat="1" applyFont="1" applyFill="1" applyBorder="1" applyAlignment="1">
      <alignment horizontal="center" vertical="center" wrapText="1"/>
    </xf>
    <xf numFmtId="0" fontId="162" fillId="0" borderId="2" xfId="4274" applyFont="1" applyFill="1" applyBorder="1" applyAlignment="1">
      <alignment vertical="center" wrapText="1"/>
    </xf>
    <xf numFmtId="244" fontId="162" fillId="0" borderId="6" xfId="4260" quotePrefix="1" applyNumberFormat="1" applyFont="1" applyFill="1" applyBorder="1" applyAlignment="1">
      <alignment horizontal="right" vertical="center" wrapText="1"/>
    </xf>
    <xf numFmtId="0" fontId="274" fillId="0" borderId="2" xfId="28" applyFont="1" applyFill="1" applyBorder="1" applyAlignment="1">
      <alignment horizontal="left" vertical="center" wrapText="1"/>
    </xf>
    <xf numFmtId="3" fontId="274" fillId="0" borderId="2" xfId="3" applyNumberFormat="1" applyFont="1" applyFill="1" applyBorder="1" applyAlignment="1">
      <alignment horizontal="center" vertical="center" wrapText="1"/>
    </xf>
    <xf numFmtId="175" fontId="274" fillId="0" borderId="2" xfId="1635" applyNumberFormat="1" applyFont="1" applyFill="1" applyBorder="1" applyAlignment="1">
      <alignment horizontal="center" vertical="center"/>
    </xf>
    <xf numFmtId="1" fontId="274" fillId="0" borderId="2" xfId="1" applyNumberFormat="1" applyFont="1" applyFill="1" applyBorder="1" applyAlignment="1">
      <alignment vertical="center" wrapText="1"/>
    </xf>
    <xf numFmtId="0" fontId="274" fillId="0" borderId="2" xfId="4274" applyFont="1" applyFill="1" applyBorder="1" applyAlignment="1">
      <alignment horizontal="center" vertical="center" wrapText="1"/>
    </xf>
    <xf numFmtId="175" fontId="274" fillId="0" borderId="2" xfId="28" applyNumberFormat="1" applyFont="1" applyFill="1" applyBorder="1" applyAlignment="1">
      <alignment horizontal="center" vertical="center" wrapText="1"/>
    </xf>
    <xf numFmtId="1" fontId="274" fillId="0" borderId="2" xfId="3" applyNumberFormat="1" applyFont="1" applyFill="1" applyBorder="1" applyAlignment="1">
      <alignment horizontal="left" vertical="center" wrapText="1"/>
    </xf>
    <xf numFmtId="3" fontId="276" fillId="0" borderId="2" xfId="0" applyNumberFormat="1" applyFont="1" applyFill="1" applyBorder="1" applyAlignment="1">
      <alignment horizontal="right" vertical="center"/>
    </xf>
    <xf numFmtId="3" fontId="133" fillId="0" borderId="2" xfId="0" applyNumberFormat="1" applyFont="1" applyFill="1" applyBorder="1" applyAlignment="1">
      <alignment horizontal="right" vertical="center" wrapText="1" shrinkToFit="1"/>
    </xf>
    <xf numFmtId="244" fontId="274" fillId="0" borderId="2" xfId="0" applyNumberFormat="1" applyFont="1" applyFill="1" applyBorder="1" applyAlignment="1">
      <alignment horizontal="center" vertical="center" wrapText="1"/>
    </xf>
    <xf numFmtId="244" fontId="133" fillId="0" borderId="2" xfId="0" applyNumberFormat="1" applyFont="1" applyFill="1" applyBorder="1" applyAlignment="1">
      <alignment horizontal="center" vertical="center" wrapText="1"/>
    </xf>
    <xf numFmtId="0" fontId="274" fillId="0" borderId="2" xfId="4819" applyFont="1" applyFill="1" applyBorder="1" applyAlignment="1">
      <alignment vertical="center" wrapText="1"/>
    </xf>
    <xf numFmtId="244" fontId="133" fillId="0" borderId="2" xfId="1618" quotePrefix="1" applyNumberFormat="1" applyFont="1" applyFill="1" applyBorder="1" applyAlignment="1">
      <alignment horizontal="center" vertical="center" wrapText="1"/>
    </xf>
    <xf numFmtId="244" fontId="133" fillId="0" borderId="2" xfId="1618" quotePrefix="1" applyNumberFormat="1" applyFont="1" applyFill="1" applyBorder="1" applyAlignment="1">
      <alignment horizontal="right" vertical="center" wrapText="1"/>
    </xf>
    <xf numFmtId="276" fontId="133" fillId="0" borderId="2" xfId="1" applyNumberFormat="1" applyFont="1" applyFill="1" applyBorder="1" applyAlignment="1">
      <alignment horizontal="center" vertical="center" wrapText="1"/>
    </xf>
    <xf numFmtId="244" fontId="274" fillId="0" borderId="2" xfId="1618" applyNumberFormat="1" applyFont="1" applyFill="1" applyBorder="1" applyAlignment="1">
      <alignment horizontal="center" vertical="center" wrapText="1"/>
    </xf>
    <xf numFmtId="175" fontId="133" fillId="0" borderId="2" xfId="3" applyNumberFormat="1" applyFont="1" applyFill="1" applyBorder="1" applyAlignment="1">
      <alignment horizontal="center" vertical="center" wrapText="1" shrinkToFit="1"/>
    </xf>
    <xf numFmtId="175" fontId="274" fillId="0" borderId="2" xfId="3" applyNumberFormat="1" applyFont="1" applyFill="1" applyBorder="1" applyAlignment="1">
      <alignment horizontal="left" vertical="center" wrapText="1"/>
    </xf>
    <xf numFmtId="1" fontId="274" fillId="0" borderId="2" xfId="3" applyNumberFormat="1" applyFont="1" applyFill="1" applyBorder="1" applyAlignment="1">
      <alignment horizontal="center" vertical="center" wrapText="1"/>
    </xf>
    <xf numFmtId="175" fontId="277" fillId="0" borderId="2" xfId="3" applyNumberFormat="1" applyFont="1" applyFill="1" applyBorder="1" applyAlignment="1">
      <alignment horizontal="center" vertical="center" wrapText="1" shrinkToFit="1"/>
    </xf>
    <xf numFmtId="0" fontId="277" fillId="0" borderId="2" xfId="2678" quotePrefix="1" applyFont="1" applyFill="1" applyBorder="1" applyAlignment="1">
      <alignment horizontal="center" vertical="center" wrapText="1"/>
    </xf>
    <xf numFmtId="0" fontId="277" fillId="0" borderId="2" xfId="28" applyFont="1" applyFill="1" applyBorder="1" applyAlignment="1">
      <alignment vertical="center" wrapText="1"/>
    </xf>
    <xf numFmtId="3" fontId="314" fillId="0" borderId="2" xfId="1" quotePrefix="1" applyNumberFormat="1" applyFont="1" applyFill="1" applyBorder="1" applyAlignment="1">
      <alignment vertical="center" wrapText="1"/>
    </xf>
    <xf numFmtId="0" fontId="274" fillId="0" borderId="2" xfId="4978" applyFont="1" applyFill="1" applyBorder="1" applyAlignment="1">
      <alignment horizontal="left" vertical="center" wrapText="1"/>
    </xf>
    <xf numFmtId="49" fontId="133" fillId="0" borderId="2" xfId="1" applyNumberFormat="1" applyFont="1" applyFill="1" applyBorder="1" applyAlignment="1">
      <alignment horizontal="left" vertical="center" wrapText="1"/>
    </xf>
    <xf numFmtId="0" fontId="277" fillId="0" borderId="2" xfId="2678" applyFont="1" applyFill="1" applyBorder="1" applyAlignment="1">
      <alignment horizontal="center" vertical="center" wrapText="1"/>
    </xf>
    <xf numFmtId="0" fontId="273" fillId="0" borderId="2" xfId="4274" applyFont="1" applyFill="1" applyBorder="1" applyAlignment="1">
      <alignment vertical="center" wrapText="1"/>
    </xf>
    <xf numFmtId="3" fontId="277" fillId="0" borderId="2" xfId="0" applyNumberFormat="1" applyFont="1" applyFill="1" applyBorder="1" applyAlignment="1">
      <alignment horizontal="center" vertical="center" wrapText="1"/>
    </xf>
    <xf numFmtId="0" fontId="41" fillId="0" borderId="2" xfId="0" applyFont="1" applyFill="1" applyBorder="1" applyAlignment="1">
      <alignment horizontal="left" vertical="center"/>
    </xf>
    <xf numFmtId="3" fontId="315" fillId="0" borderId="2" xfId="1" applyNumberFormat="1" applyFont="1" applyFill="1" applyBorder="1" applyAlignment="1">
      <alignment horizontal="right" vertical="center" wrapText="1"/>
    </xf>
    <xf numFmtId="0" fontId="162" fillId="0" borderId="2" xfId="2678" applyNumberFormat="1" applyFont="1" applyFill="1" applyBorder="1" applyAlignment="1">
      <alignment vertical="center" wrapText="1"/>
    </xf>
    <xf numFmtId="244" fontId="279" fillId="0" borderId="2" xfId="4260" quotePrefix="1" applyNumberFormat="1" applyFont="1" applyFill="1" applyBorder="1" applyAlignment="1">
      <alignment horizontal="center" vertical="center" wrapText="1"/>
    </xf>
    <xf numFmtId="0" fontId="279" fillId="0" borderId="2" xfId="2678" quotePrefix="1" applyFont="1" applyFill="1" applyBorder="1" applyAlignment="1">
      <alignment horizontal="center" vertical="center" wrapText="1"/>
    </xf>
    <xf numFmtId="0" fontId="279" fillId="0" borderId="2" xfId="2678" applyNumberFormat="1" applyFont="1" applyFill="1" applyBorder="1" applyAlignment="1">
      <alignment vertical="center" wrapText="1"/>
    </xf>
    <xf numFmtId="0" fontId="279" fillId="0" borderId="2" xfId="2678" applyFont="1" applyFill="1" applyBorder="1" applyAlignment="1">
      <alignment horizontal="center" vertical="center"/>
    </xf>
    <xf numFmtId="175" fontId="279" fillId="0" borderId="2" xfId="1776" applyNumberFormat="1" applyFont="1" applyFill="1" applyBorder="1" applyAlignment="1">
      <alignment horizontal="center" vertical="center"/>
    </xf>
    <xf numFmtId="175" fontId="162" fillId="0" borderId="2" xfId="1776" quotePrefix="1" applyNumberFormat="1" applyFont="1" applyFill="1" applyBorder="1" applyAlignment="1">
      <alignment vertical="center" wrapText="1"/>
    </xf>
    <xf numFmtId="0" fontId="133" fillId="0" borderId="2" xfId="4265" applyFont="1" applyFill="1" applyBorder="1" applyAlignment="1">
      <alignment vertical="center" wrapText="1"/>
    </xf>
    <xf numFmtId="3" fontId="277" fillId="0" borderId="2" xfId="1" quotePrefix="1" applyNumberFormat="1" applyFont="1" applyFill="1" applyBorder="1" applyAlignment="1">
      <alignment horizontal="left" vertical="center" wrapText="1"/>
    </xf>
    <xf numFmtId="0" fontId="277" fillId="0" borderId="2" xfId="2678" applyFont="1" applyFill="1" applyBorder="1" applyAlignment="1">
      <alignment vertical="center" wrapText="1"/>
    </xf>
    <xf numFmtId="0" fontId="274" fillId="0" borderId="2" xfId="4265" applyFont="1" applyFill="1" applyBorder="1" applyAlignment="1">
      <alignment vertical="center" wrapText="1"/>
    </xf>
    <xf numFmtId="3" fontId="316" fillId="0" borderId="2" xfId="28" applyNumberFormat="1" applyFont="1" applyFill="1" applyBorder="1" applyAlignment="1">
      <alignment horizontal="right" vertical="center"/>
    </xf>
    <xf numFmtId="3" fontId="309" fillId="0" borderId="2" xfId="1" quotePrefix="1" applyNumberFormat="1" applyFont="1" applyFill="1" applyBorder="1" applyAlignment="1">
      <alignment horizontal="right" vertical="center" wrapText="1"/>
    </xf>
    <xf numFmtId="3" fontId="162" fillId="0" borderId="2" xfId="1" applyNumberFormat="1" applyFont="1" applyFill="1" applyBorder="1" applyAlignment="1">
      <alignment horizontal="center" vertical="center" wrapText="1"/>
    </xf>
    <xf numFmtId="0" fontId="133" fillId="0" borderId="2" xfId="2678" applyFont="1" applyFill="1" applyBorder="1" applyAlignment="1">
      <alignment horizontal="center" vertical="center" wrapText="1"/>
    </xf>
    <xf numFmtId="175" fontId="162" fillId="0" borderId="2" xfId="1618" applyNumberFormat="1" applyFont="1" applyFill="1" applyBorder="1" applyAlignment="1">
      <alignment horizontal="center" vertical="center" wrapText="1"/>
    </xf>
    <xf numFmtId="3" fontId="274" fillId="0" borderId="2" xfId="1708" applyNumberFormat="1" applyFont="1" applyFill="1" applyBorder="1" applyAlignment="1">
      <alignment horizontal="center" vertical="center" wrapText="1"/>
    </xf>
    <xf numFmtId="1" fontId="317" fillId="0" borderId="0" xfId="1" applyNumberFormat="1" applyFont="1" applyFill="1" applyAlignment="1">
      <alignment vertical="center"/>
    </xf>
    <xf numFmtId="244" fontId="279" fillId="0" borderId="0" xfId="4260" applyNumberFormat="1" applyFont="1" applyFill="1" applyAlignment="1">
      <alignment horizontal="center" vertical="center" wrapText="1"/>
    </xf>
    <xf numFmtId="3" fontId="279" fillId="0" borderId="0" xfId="1" applyNumberFormat="1" applyFont="1" applyFill="1" applyBorder="1" applyAlignment="1">
      <alignment horizontal="center" vertical="center" wrapText="1"/>
    </xf>
    <xf numFmtId="244" fontId="279" fillId="0" borderId="0" xfId="4260" applyNumberFormat="1" applyFont="1" applyFill="1" applyAlignment="1">
      <alignment vertical="center"/>
    </xf>
    <xf numFmtId="244" fontId="273" fillId="0" borderId="0" xfId="4260" applyNumberFormat="1" applyFont="1" applyFill="1" applyAlignment="1">
      <alignment vertical="center"/>
    </xf>
    <xf numFmtId="3" fontId="162" fillId="0" borderId="2" xfId="0" applyNumberFormat="1" applyFont="1" applyFill="1" applyBorder="1" applyAlignment="1">
      <alignment vertical="center"/>
    </xf>
    <xf numFmtId="1" fontId="313" fillId="0" borderId="0" xfId="1" applyNumberFormat="1" applyFont="1" applyFill="1" applyAlignment="1">
      <alignment vertical="center"/>
    </xf>
    <xf numFmtId="1" fontId="282" fillId="0" borderId="0" xfId="1" applyNumberFormat="1" applyFont="1" applyFill="1" applyAlignment="1">
      <alignment vertical="center"/>
    </xf>
    <xf numFmtId="0" fontId="9" fillId="0" borderId="2" xfId="2607" applyFont="1" applyFill="1" applyBorder="1" applyAlignment="1">
      <alignment vertical="center" wrapText="1"/>
    </xf>
    <xf numFmtId="3" fontId="162" fillId="0" borderId="9" xfId="1" applyNumberFormat="1" applyFont="1" applyFill="1" applyBorder="1" applyAlignment="1">
      <alignment horizontal="center" vertical="center" wrapText="1"/>
    </xf>
    <xf numFmtId="3" fontId="162" fillId="0" borderId="10" xfId="1" applyNumberFormat="1" applyFont="1" applyFill="1" applyBorder="1" applyAlignment="1">
      <alignment horizontal="center" vertical="center" wrapText="1"/>
    </xf>
    <xf numFmtId="3" fontId="162" fillId="0" borderId="13" xfId="1" applyNumberFormat="1" applyFont="1" applyFill="1" applyBorder="1" applyAlignment="1">
      <alignment horizontal="center" vertical="center" wrapText="1"/>
    </xf>
    <xf numFmtId="3" fontId="162" fillId="0" borderId="14" xfId="1" applyNumberFormat="1" applyFont="1" applyFill="1" applyBorder="1" applyAlignment="1">
      <alignment horizontal="center" vertical="center" wrapText="1"/>
    </xf>
    <xf numFmtId="3" fontId="133" fillId="0" borderId="6" xfId="1" applyNumberFormat="1" applyFont="1" applyFill="1" applyBorder="1" applyAlignment="1">
      <alignment horizontal="center" vertical="center" wrapText="1"/>
    </xf>
    <xf numFmtId="3" fontId="133" fillId="0" borderId="7" xfId="1" applyNumberFormat="1" applyFont="1" applyFill="1" applyBorder="1" applyAlignment="1">
      <alignment horizontal="center" vertical="center" wrapText="1"/>
    </xf>
    <xf numFmtId="3" fontId="273" fillId="0" borderId="1" xfId="1" applyNumberFormat="1" applyFont="1" applyFill="1" applyBorder="1" applyAlignment="1">
      <alignment horizontal="right" vertical="center" wrapText="1"/>
    </xf>
    <xf numFmtId="1" fontId="17" fillId="0" borderId="0" xfId="1" applyNumberFormat="1" applyFont="1" applyFill="1" applyBorder="1" applyAlignment="1">
      <alignment horizontal="center" vertical="center" wrapText="1"/>
    </xf>
    <xf numFmtId="3" fontId="162" fillId="0" borderId="6" xfId="1" applyNumberFormat="1" applyFont="1" applyFill="1" applyBorder="1" applyAlignment="1">
      <alignment horizontal="center" vertical="center" wrapText="1"/>
    </xf>
    <xf numFmtId="3" fontId="162" fillId="0" borderId="8" xfId="1" applyNumberFormat="1" applyFont="1" applyFill="1" applyBorder="1" applyAlignment="1">
      <alignment horizontal="center" vertical="center" wrapText="1"/>
    </xf>
    <xf numFmtId="3" fontId="162" fillId="0" borderId="7" xfId="1" applyNumberFormat="1" applyFont="1" applyFill="1" applyBorder="1" applyAlignment="1">
      <alignment horizontal="center" vertical="center" wrapText="1"/>
    </xf>
    <xf numFmtId="3" fontId="162" fillId="0" borderId="11" xfId="1" applyNumberFormat="1" applyFont="1" applyFill="1" applyBorder="1" applyAlignment="1">
      <alignment horizontal="center" vertical="center" wrapText="1"/>
    </xf>
    <xf numFmtId="175" fontId="162" fillId="0" borderId="2" xfId="1618" applyNumberFormat="1" applyFont="1" applyFill="1" applyBorder="1" applyAlignment="1">
      <alignment horizontal="center" vertical="center" wrapText="1"/>
    </xf>
    <xf numFmtId="3" fontId="277"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center" vertical="center" wrapText="1"/>
    </xf>
    <xf numFmtId="3" fontId="162" fillId="0" borderId="12" xfId="1" applyNumberFormat="1" applyFont="1" applyFill="1" applyBorder="1" applyAlignment="1">
      <alignment horizontal="center" vertical="center" wrapText="1"/>
    </xf>
    <xf numFmtId="3" fontId="162" fillId="0" borderId="52" xfId="1" applyNumberFormat="1" applyFont="1" applyFill="1" applyBorder="1" applyAlignment="1">
      <alignment horizontal="center" vertical="center" wrapText="1"/>
    </xf>
    <xf numFmtId="1" fontId="15" fillId="0" borderId="0" xfId="1" applyNumberFormat="1" applyFont="1" applyFill="1" applyAlignment="1">
      <alignment horizontal="right" vertical="center"/>
    </xf>
    <xf numFmtId="1" fontId="5" fillId="0" borderId="0" xfId="1" applyNumberFormat="1" applyFont="1" applyFill="1" applyAlignment="1">
      <alignment horizontal="center" vertical="center" wrapText="1"/>
    </xf>
    <xf numFmtId="3" fontId="162" fillId="0" borderId="1" xfId="1" applyNumberFormat="1" applyFont="1" applyFill="1" applyBorder="1" applyAlignment="1">
      <alignment horizontal="center" vertical="center" wrapText="1"/>
    </xf>
    <xf numFmtId="1" fontId="283" fillId="0" borderId="0" xfId="1" applyNumberFormat="1" applyFont="1" applyFill="1" applyBorder="1" applyAlignment="1">
      <alignment horizontal="center" vertical="center"/>
    </xf>
    <xf numFmtId="0" fontId="133" fillId="0" borderId="2" xfId="2678" applyFont="1" applyFill="1" applyBorder="1" applyAlignment="1">
      <alignment horizontal="center" vertical="center" wrapText="1"/>
    </xf>
    <xf numFmtId="1" fontId="278" fillId="0" borderId="0" xfId="1" applyNumberFormat="1" applyFont="1" applyFill="1" applyBorder="1" applyAlignment="1">
      <alignment horizontal="left" vertical="center"/>
    </xf>
    <xf numFmtId="3" fontId="273" fillId="0" borderId="2" xfId="1" applyNumberFormat="1" applyFont="1" applyFill="1" applyBorder="1" applyAlignment="1">
      <alignment horizontal="center" vertical="center" wrapText="1"/>
    </xf>
    <xf numFmtId="2" fontId="41" fillId="0" borderId="2" xfId="4276" applyNumberFormat="1" applyFont="1" applyFill="1" applyBorder="1" applyAlignment="1">
      <alignment horizontal="center" vertical="center" wrapText="1"/>
    </xf>
    <xf numFmtId="0" fontId="41" fillId="0" borderId="0" xfId="4276" applyFont="1" applyFill="1" applyAlignment="1">
      <alignment horizontal="center" vertical="center"/>
    </xf>
    <xf numFmtId="0" fontId="26" fillId="0" borderId="0" xfId="4276" applyFont="1" applyFill="1" applyAlignment="1">
      <alignment horizontal="center" vertical="center"/>
    </xf>
    <xf numFmtId="0" fontId="41" fillId="0" borderId="2" xfId="4276" applyFont="1" applyFill="1" applyBorder="1" applyAlignment="1">
      <alignment horizontal="center" vertical="center" wrapText="1"/>
    </xf>
    <xf numFmtId="0" fontId="41" fillId="0" borderId="3" xfId="4276" applyFont="1" applyFill="1" applyBorder="1" applyAlignment="1">
      <alignment horizontal="center" vertical="center" wrapText="1"/>
    </xf>
    <xf numFmtId="0" fontId="41" fillId="0" borderId="4" xfId="4276" applyFont="1" applyFill="1" applyBorder="1" applyAlignment="1">
      <alignment horizontal="center" vertical="center" wrapText="1"/>
    </xf>
    <xf numFmtId="0" fontId="41" fillId="0" borderId="5" xfId="4276" applyFont="1" applyFill="1" applyBorder="1" applyAlignment="1">
      <alignment horizontal="center" vertical="center" wrapText="1"/>
    </xf>
    <xf numFmtId="0" fontId="10" fillId="0" borderId="0" xfId="0" applyFont="1" applyAlignment="1">
      <alignment horizontal="center" vertical="center" wrapText="1" readingOrder="1"/>
    </xf>
    <xf numFmtId="1" fontId="22" fillId="0" borderId="0" xfId="1" applyNumberFormat="1" applyFont="1" applyFill="1" applyAlignment="1">
      <alignment horizontal="right" vertical="center"/>
    </xf>
    <xf numFmtId="1" fontId="18"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8" fillId="0" borderId="0" xfId="1" applyNumberFormat="1" applyFont="1" applyFill="1" applyAlignment="1">
      <alignment horizontal="center" vertical="center" wrapText="1"/>
    </xf>
    <xf numFmtId="1" fontId="18" fillId="0" borderId="1" xfId="1" applyNumberFormat="1" applyFont="1" applyFill="1" applyBorder="1" applyAlignment="1">
      <alignment horizontal="right" vertical="center"/>
    </xf>
    <xf numFmtId="3" fontId="9" fillId="0" borderId="6" xfId="1" applyNumberFormat="1" applyFont="1" applyBorder="1" applyAlignment="1">
      <alignment horizontal="center" vertical="center" wrapText="1"/>
    </xf>
    <xf numFmtId="3" fontId="9" fillId="0" borderId="8"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9" fillId="0" borderId="2" xfId="1" applyNumberFormat="1" applyFont="1" applyBorder="1" applyAlignment="1">
      <alignment horizontal="center" vertical="center" wrapText="1"/>
    </xf>
    <xf numFmtId="0" fontId="25" fillId="0" borderId="2" xfId="0" applyFont="1" applyBorder="1"/>
    <xf numFmtId="3" fontId="9" fillId="0" borderId="2" xfId="1" applyNumberFormat="1" applyFont="1" applyFill="1" applyBorder="1" applyAlignment="1">
      <alignment horizontal="center" vertical="center" wrapText="1"/>
    </xf>
    <xf numFmtId="3" fontId="16" fillId="0" borderId="2" xfId="1" applyNumberFormat="1" applyFont="1" applyFill="1" applyBorder="1" applyAlignment="1">
      <alignment horizontal="left" vertical="center" wrapText="1"/>
    </xf>
    <xf numFmtId="3" fontId="9" fillId="0" borderId="9"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3" fontId="9" fillId="0" borderId="10" xfId="1"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3" fontId="9" fillId="0" borderId="14" xfId="1" applyNumberFormat="1" applyFont="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6"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26" fillId="0" borderId="6" xfId="1" applyNumberFormat="1" applyFont="1" applyFill="1" applyBorder="1" applyAlignment="1">
      <alignment horizontal="center" vertical="center" wrapText="1"/>
    </xf>
    <xf numFmtId="3" fontId="26" fillId="0" borderId="7" xfId="1" applyNumberFormat="1" applyFont="1" applyFill="1" applyBorder="1" applyAlignment="1">
      <alignment horizontal="center" vertical="center" wrapText="1"/>
    </xf>
    <xf numFmtId="0" fontId="12" fillId="0" borderId="0" xfId="0" applyFont="1" applyAlignment="1">
      <alignment horizontal="left" vertical="center" wrapText="1"/>
    </xf>
    <xf numFmtId="49" fontId="16" fillId="0" borderId="0" xfId="1" applyNumberFormat="1" applyFont="1" applyFill="1" applyBorder="1" applyAlignment="1">
      <alignment horizontal="left" vertical="center"/>
    </xf>
    <xf numFmtId="1" fontId="16" fillId="0" borderId="0" xfId="1" quotePrefix="1" applyNumberFormat="1" applyFont="1" applyFill="1" applyAlignment="1">
      <alignment horizontal="left" vertical="center" wrapText="1"/>
    </xf>
    <xf numFmtId="1" fontId="16" fillId="0" borderId="0" xfId="1" applyNumberFormat="1" applyFont="1" applyFill="1" applyAlignment="1">
      <alignment horizontal="left" vertical="center" wrapText="1"/>
    </xf>
    <xf numFmtId="0" fontId="29" fillId="0" borderId="0" xfId="0" applyFont="1" applyAlignment="1">
      <alignment horizontal="center" vertical="center" wrapText="1"/>
    </xf>
    <xf numFmtId="0" fontId="8" fillId="0" borderId="0" xfId="0" applyFont="1" applyAlignment="1">
      <alignment horizontal="left" vertical="center" wrapText="1" readingOrder="1"/>
    </xf>
    <xf numFmtId="0" fontId="10" fillId="0" borderId="0" xfId="0" applyFont="1" applyAlignment="1">
      <alignment horizontal="left" vertical="center" wrapText="1" readingOrder="1"/>
    </xf>
    <xf numFmtId="0" fontId="27" fillId="0" borderId="0" xfId="0" applyFont="1" applyAlignment="1">
      <alignment horizontal="right" vertical="center" wrapText="1"/>
    </xf>
    <xf numFmtId="0" fontId="31" fillId="0" borderId="1" xfId="0" applyFont="1" applyBorder="1" applyAlignment="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Fill="1" applyAlignment="1">
      <alignment horizontal="left" vertical="center" wrapText="1"/>
    </xf>
    <xf numFmtId="1" fontId="33" fillId="0" borderId="0" xfId="1" applyNumberFormat="1" applyFont="1" applyFill="1" applyAlignment="1">
      <alignment horizontal="right" vertical="center"/>
    </xf>
    <xf numFmtId="3" fontId="38" fillId="0" borderId="6"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0" borderId="9" xfId="1" applyNumberFormat="1" applyFont="1" applyFill="1" applyBorder="1" applyAlignment="1">
      <alignment horizontal="center" vertical="center" wrapText="1"/>
    </xf>
    <xf numFmtId="3" fontId="38" fillId="0" borderId="11" xfId="1" applyNumberFormat="1" applyFont="1" applyFill="1" applyBorder="1" applyAlignment="1">
      <alignment horizontal="center" vertical="center" wrapText="1"/>
    </xf>
    <xf numFmtId="3" fontId="38" fillId="0" borderId="10" xfId="1" applyNumberFormat="1" applyFont="1" applyFill="1" applyBorder="1" applyAlignment="1">
      <alignment horizontal="center" vertical="center" wrapText="1"/>
    </xf>
    <xf numFmtId="3" fontId="38" fillId="0" borderId="13" xfId="1" applyNumberFormat="1" applyFont="1" applyFill="1" applyBorder="1" applyAlignment="1">
      <alignment horizontal="center" vertical="center" wrapText="1"/>
    </xf>
    <xf numFmtId="3" fontId="38" fillId="0" borderId="1" xfId="1" applyNumberFormat="1" applyFont="1" applyFill="1" applyBorder="1" applyAlignment="1">
      <alignment horizontal="center" vertical="center" wrapText="1"/>
    </xf>
    <xf numFmtId="3" fontId="38" fillId="0" borderId="14" xfId="1" applyNumberFormat="1" applyFont="1" applyFill="1" applyBorder="1" applyAlignment="1">
      <alignment horizontal="center" vertical="center" wrapText="1"/>
    </xf>
    <xf numFmtId="3" fontId="38" fillId="0" borderId="6" xfId="1" applyNumberFormat="1" applyFont="1" applyBorder="1" applyAlignment="1">
      <alignment horizontal="center" vertical="center" wrapText="1"/>
    </xf>
    <xf numFmtId="3" fontId="38" fillId="0" borderId="7" xfId="1" applyNumberFormat="1" applyFont="1" applyBorder="1" applyAlignment="1">
      <alignment horizontal="center" vertical="center" wrapText="1"/>
    </xf>
    <xf numFmtId="3" fontId="38" fillId="0" borderId="9" xfId="1" applyNumberFormat="1" applyFont="1" applyBorder="1" applyAlignment="1">
      <alignment horizontal="center" vertical="center" wrapText="1"/>
    </xf>
    <xf numFmtId="3" fontId="38" fillId="0" borderId="10" xfId="1" applyNumberFormat="1" applyFont="1" applyBorder="1" applyAlignment="1">
      <alignment horizontal="center" vertical="center" wrapText="1"/>
    </xf>
    <xf numFmtId="3" fontId="38" fillId="0" borderId="13" xfId="1" applyNumberFormat="1" applyFont="1" applyBorder="1" applyAlignment="1">
      <alignment horizontal="center" vertical="center" wrapText="1"/>
    </xf>
    <xf numFmtId="3" fontId="38" fillId="0" borderId="14" xfId="1" applyNumberFormat="1" applyFont="1" applyBorder="1" applyAlignment="1">
      <alignment horizontal="center" vertical="center" wrapText="1"/>
    </xf>
    <xf numFmtId="3" fontId="38" fillId="0" borderId="8" xfId="1" applyNumberFormat="1" applyFont="1" applyBorder="1" applyAlignment="1">
      <alignment horizontal="center" vertical="center" wrapText="1"/>
    </xf>
    <xf numFmtId="3" fontId="38" fillId="0" borderId="3" xfId="1" applyNumberFormat="1" applyFont="1" applyBorder="1" applyAlignment="1">
      <alignment horizontal="center" vertical="center" wrapText="1"/>
    </xf>
    <xf numFmtId="3" fontId="38" fillId="0" borderId="5" xfId="1" applyNumberFormat="1" applyFont="1" applyBorder="1" applyAlignment="1">
      <alignment horizontal="center" vertical="center" wrapText="1"/>
    </xf>
    <xf numFmtId="3" fontId="38" fillId="0" borderId="11" xfId="1" applyNumberFormat="1" applyFont="1" applyBorder="1" applyAlignment="1">
      <alignment horizontal="center" vertical="center" wrapText="1"/>
    </xf>
    <xf numFmtId="3" fontId="38" fillId="0" borderId="1" xfId="1" applyNumberFormat="1" applyFont="1" applyBorder="1" applyAlignment="1">
      <alignment horizontal="center" vertical="center" wrapText="1"/>
    </xf>
    <xf numFmtId="3" fontId="38" fillId="0" borderId="3" xfId="1" applyNumberFormat="1" applyFont="1" applyFill="1" applyBorder="1" applyAlignment="1">
      <alignment horizontal="center" vertical="center" wrapText="1"/>
    </xf>
    <xf numFmtId="3" fontId="38" fillId="0" borderId="4" xfId="1" applyNumberFormat="1" applyFont="1" applyFill="1" applyBorder="1" applyAlignment="1">
      <alignment horizontal="center" vertical="center" wrapText="1"/>
    </xf>
    <xf numFmtId="3" fontId="38" fillId="0" borderId="5" xfId="1" applyNumberFormat="1" applyFont="1" applyFill="1" applyBorder="1" applyAlignment="1">
      <alignment horizontal="center" vertical="center" wrapText="1"/>
    </xf>
    <xf numFmtId="0" fontId="9" fillId="0" borderId="2" xfId="2" applyFont="1" applyBorder="1" applyAlignment="1">
      <alignment horizontal="center" vertical="center"/>
    </xf>
    <xf numFmtId="3" fontId="9" fillId="0" borderId="2" xfId="3" applyNumberFormat="1" applyFont="1" applyFill="1" applyBorder="1" applyAlignment="1">
      <alignment horizontal="center" vertical="center" wrapText="1"/>
    </xf>
    <xf numFmtId="0" fontId="7" fillId="0" borderId="2" xfId="4" applyFont="1" applyBorder="1" applyAlignment="1">
      <alignment horizontal="center" vertical="center" wrapText="1"/>
    </xf>
    <xf numFmtId="3" fontId="26" fillId="0" borderId="3" xfId="1" applyNumberFormat="1" applyFont="1" applyFill="1" applyBorder="1" applyAlignment="1">
      <alignment horizontal="center" vertical="center" wrapText="1"/>
    </xf>
    <xf numFmtId="3" fontId="26" fillId="0" borderId="5" xfId="1" applyNumberFormat="1" applyFont="1" applyFill="1" applyBorder="1" applyAlignment="1">
      <alignment horizontal="center" vertical="center" wrapText="1"/>
    </xf>
    <xf numFmtId="3" fontId="38" fillId="0" borderId="2" xfId="1" applyNumberFormat="1" applyFont="1" applyFill="1" applyBorder="1" applyAlignment="1">
      <alignment horizontal="center" vertical="center" wrapText="1"/>
    </xf>
    <xf numFmtId="1" fontId="17" fillId="0" borderId="0" xfId="1" applyNumberFormat="1" applyFont="1" applyFill="1" applyAlignment="1">
      <alignment horizontal="center" vertical="center" wrapText="1"/>
    </xf>
    <xf numFmtId="1" fontId="16" fillId="0" borderId="1" xfId="1" applyNumberFormat="1" applyFont="1" applyFill="1" applyBorder="1" applyAlignment="1">
      <alignment horizontal="right" vertical="center"/>
    </xf>
    <xf numFmtId="3" fontId="9" fillId="0" borderId="9"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3" fontId="9" fillId="0" borderId="13"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1" fontId="9" fillId="0" borderId="0" xfId="1" applyNumberFormat="1" applyFont="1" applyFill="1" applyAlignment="1">
      <alignment horizontal="left" vertical="center" wrapText="1"/>
    </xf>
    <xf numFmtId="1" fontId="9" fillId="0" borderId="12" xfId="1" applyNumberFormat="1" applyFont="1" applyFill="1" applyBorder="1" applyAlignment="1">
      <alignment horizontal="center" vertical="center" wrapText="1"/>
    </xf>
    <xf numFmtId="1" fontId="16" fillId="0" borderId="0" xfId="1" applyNumberFormat="1" applyFont="1" applyFill="1" applyBorder="1" applyAlignment="1">
      <alignment horizontal="left" vertical="center" wrapText="1"/>
    </xf>
    <xf numFmtId="0" fontId="54" fillId="0" borderId="6" xfId="20" applyFont="1" applyBorder="1" applyAlignment="1">
      <alignment horizontal="center" vertical="center" wrapText="1" readingOrder="1"/>
    </xf>
    <xf numFmtId="0" fontId="54" fillId="0" borderId="7" xfId="20" applyFont="1" applyBorder="1" applyAlignment="1">
      <alignment horizontal="center" vertical="center" wrapText="1" readingOrder="1"/>
    </xf>
    <xf numFmtId="0" fontId="54" fillId="0" borderId="2" xfId="20" applyFont="1" applyBorder="1" applyAlignment="1">
      <alignment horizontal="center" vertical="center" wrapText="1" readingOrder="1"/>
    </xf>
    <xf numFmtId="0" fontId="50" fillId="0" borderId="0" xfId="20" applyFont="1" applyAlignment="1">
      <alignment horizontal="center" vertical="center" wrapText="1" readingOrder="1"/>
    </xf>
    <xf numFmtId="0" fontId="10" fillId="0" borderId="0" xfId="20" applyFont="1" applyAlignment="1">
      <alignment horizontal="center" vertical="center" wrapText="1" readingOrder="1"/>
    </xf>
    <xf numFmtId="0" fontId="53" fillId="0" borderId="0" xfId="20" applyFont="1" applyAlignment="1">
      <alignment horizontal="right" vertical="center" wrapText="1" readingOrder="1"/>
    </xf>
    <xf numFmtId="0" fontId="10" fillId="0" borderId="1" xfId="20" applyFont="1" applyBorder="1" applyAlignment="1">
      <alignment horizontal="right" vertical="center" wrapText="1" readingOrder="1"/>
    </xf>
    <xf numFmtId="0" fontId="54" fillId="0" borderId="3" xfId="20" applyFont="1" applyBorder="1" applyAlignment="1">
      <alignment horizontal="center" vertical="center" wrapText="1" readingOrder="1"/>
    </xf>
    <xf numFmtId="0" fontId="54" fillId="0" borderId="4" xfId="20" applyFont="1" applyBorder="1" applyAlignment="1">
      <alignment horizontal="center" vertical="center" wrapText="1" readingOrder="1"/>
    </xf>
    <xf numFmtId="0" fontId="54" fillId="0" borderId="5" xfId="20" applyFont="1" applyBorder="1" applyAlignment="1">
      <alignment horizontal="center" vertical="center" wrapText="1" readingOrder="1"/>
    </xf>
    <xf numFmtId="0" fontId="54" fillId="0" borderId="8" xfId="20" applyFont="1" applyBorder="1" applyAlignment="1">
      <alignment horizontal="center" vertical="center" wrapText="1" readingOrder="1"/>
    </xf>
    <xf numFmtId="0" fontId="51" fillId="0" borderId="2" xfId="20" applyFont="1" applyBorder="1" applyAlignment="1">
      <alignment horizontal="center" vertical="center" wrapText="1"/>
    </xf>
    <xf numFmtId="0" fontId="56" fillId="0" borderId="1" xfId="20" applyFont="1" applyBorder="1" applyAlignment="1">
      <alignment horizontal="right" vertical="center" wrapText="1" readingOrder="1"/>
    </xf>
    <xf numFmtId="49" fontId="51" fillId="0" borderId="2" xfId="20" applyNumberFormat="1" applyFont="1" applyBorder="1" applyAlignment="1">
      <alignment horizontal="center" vertical="center" wrapText="1"/>
    </xf>
    <xf numFmtId="0" fontId="51" fillId="0" borderId="0" xfId="20" applyFont="1" applyAlignment="1">
      <alignment horizontal="left" vertical="center" wrapText="1" readingOrder="1"/>
    </xf>
    <xf numFmtId="0" fontId="10" fillId="0" borderId="0" xfId="20" applyFont="1" applyAlignment="1">
      <alignment horizontal="left" vertical="center" wrapText="1" readingOrder="1"/>
    </xf>
    <xf numFmtId="0" fontId="58" fillId="0" borderId="0" xfId="20" applyFont="1" applyAlignment="1">
      <alignment horizontal="right" vertical="center" wrapText="1" readingOrder="1"/>
    </xf>
    <xf numFmtId="0" fontId="25" fillId="0" borderId="2" xfId="10" applyFont="1" applyBorder="1" applyAlignment="1">
      <alignment horizontal="center" vertical="center" wrapText="1"/>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horizontal="right" vertical="center"/>
    </xf>
    <xf numFmtId="49" fontId="9" fillId="0" borderId="2" xfId="1" applyNumberFormat="1" applyFont="1" applyBorder="1" applyAlignment="1">
      <alignment horizontal="center" vertical="center" wrapText="1"/>
    </xf>
    <xf numFmtId="0" fontId="65" fillId="0" borderId="0" xfId="20" applyFont="1" applyAlignment="1">
      <alignment horizontal="center" vertical="center" wrapText="1" readingOrder="1"/>
    </xf>
  </cellXfs>
  <cellStyles count="5033">
    <cellStyle name="_x0001_" xfId="23" xr:uid="{00000000-0005-0000-0000-000000000000}"/>
    <cellStyle name="          _x000a__x000a_shell=progman.exe_x000a__x000a_m" xfId="24" xr:uid="{00000000-0005-0000-0000-000001000000}"/>
    <cellStyle name="          _x000d__x000a_shell=progman.exe_x000d__x000a_m" xfId="25" xr:uid="{00000000-0005-0000-0000-000002000000}"/>
    <cellStyle name="          _x005f_x000d__x005f_x000a_shell=progman.exe_x005f_x000d__x005f_x000a_m" xfId="26" xr:uid="{00000000-0005-0000-0000-000003000000}"/>
    <cellStyle name="_x000a__x000a_JournalTemplate=C:\COMFO\CTALK\JOURSTD.TPL_x000a__x000a_LbStateAddress=3 3 0 251 1 89 2 311_x000a__x000a_LbStateJou" xfId="27" xr:uid="{00000000-0005-0000-0000-000004000000}"/>
    <cellStyle name="_x000d__x000a_JournalTemplate=C:\COMFO\CTALK\JOURSTD.TPL_x000d__x000a_LbStateAddress=3 3 0 251 1 89 2 311_x000d__x000a_LbStateJou" xfId="28" xr:uid="{00000000-0005-0000-0000-000005000000}"/>
    <cellStyle name="_x000d__x000a_JournalTemplate=C:\COMFO\CTALK\JOURSTD.TPL_x000d__x000a_LbStateAddress=3 3 0 251 1 89 2 311_x000d__x000a_LbStateJou 2" xfId="4266" xr:uid="{00000000-0005-0000-0000-000006000000}"/>
    <cellStyle name="_x000d__x000a_JournalTemplate=C:\COMFO\CTALK\JOURSTD.TPL_x000d__x000a_LbStateAddress=3 3 0 251 1 89 2 311_x000d__x000a_LbStateJou 2 2" xfId="4267" xr:uid="{00000000-0005-0000-0000-000007000000}"/>
    <cellStyle name="_x000d__x000a_JournalTemplate=C:\COMFO\CTALK\JOURSTD.TPL_x000d__x000a_LbStateAddress=3 3 0 251 1 89 2 311_x000d__x000a_LbStateJou 3" xfId="4261" xr:uid="{00000000-0005-0000-0000-000008000000}"/>
    <cellStyle name="_x000d__x000a_JournalTemplate=C:\COMFO\CTALK\JOURSTD.TPL_x000d__x000a_LbStateAddress=3 3 0 251 1 89 2 311_x000d__x000a_LbStateJou 3 2" xfId="4278" xr:uid="{00000000-0005-0000-0000-000009000000}"/>
    <cellStyle name="_x000d__x000a_JournalTemplate=C:\COMFO\CTALK\JOURSTD.TPL_x000d__x000a_LbStateAddress=3 3 0 251 1 89 2 311_x000d__x000a_LbStateJou 4" xfId="4270" xr:uid="{00000000-0005-0000-0000-00000A000000}"/>
    <cellStyle name="_x000d__x000a_JournalTemplate=C:\COMFO\CTALK\JOURSTD.TPL_x000d__x000a_LbStateAddress=3 3 0 251 1 89 2 311_x000d__x000a_LbStateJou 4 2" xfId="4279" xr:uid="{00000000-0005-0000-0000-00000B000000}"/>
    <cellStyle name="_x000d__x000a_JournalTemplate=C:\COMFO\CTALK\JOURSTD.TPL_x000d__x000a_LbStateAddress=3 3 0 251 1 89 2 311_x000d__x000a_LbStateJou 5" xfId="4271" xr:uid="{00000000-0005-0000-0000-00000C000000}"/>
    <cellStyle name="_x000d__x000a_JournalTemplate=C:\COMFO\CTALK\JOURSTD.TPL_x000d__x000a_LbStateAddress=3 3 0 251 1 89 2 311_x000d__x000a_LbStateJou_2_Mau Bieu De an 30a Nam Po (16-6-2014)" xfId="4280" xr:uid="{00000000-0005-0000-0000-00000D000000}"/>
    <cellStyle name="#,##0" xfId="29" xr:uid="{00000000-0005-0000-0000-00000E000000}"/>
    <cellStyle name="#,##0 2" xfId="30" xr:uid="{00000000-0005-0000-0000-00000F000000}"/>
    <cellStyle name="." xfId="31" xr:uid="{00000000-0005-0000-0000-000010000000}"/>
    <cellStyle name=". 2" xfId="32" xr:uid="{00000000-0005-0000-0000-000011000000}"/>
    <cellStyle name=". 3" xfId="33" xr:uid="{00000000-0005-0000-0000-000012000000}"/>
    <cellStyle name=".d©y" xfId="34" xr:uid="{00000000-0005-0000-0000-000013000000}"/>
    <cellStyle name="??" xfId="35" xr:uid="{00000000-0005-0000-0000-000014000000}"/>
    <cellStyle name="?? [0.00]_ Att. 1- Cover" xfId="36" xr:uid="{00000000-0005-0000-0000-000015000000}"/>
    <cellStyle name="?? [0]" xfId="37" xr:uid="{00000000-0005-0000-0000-000016000000}"/>
    <cellStyle name="?? [0] 2" xfId="38" xr:uid="{00000000-0005-0000-0000-000017000000}"/>
    <cellStyle name="?? 2" xfId="39" xr:uid="{00000000-0005-0000-0000-000018000000}"/>
    <cellStyle name="?? 3" xfId="40" xr:uid="{00000000-0005-0000-0000-000019000000}"/>
    <cellStyle name="?? 4" xfId="41" xr:uid="{00000000-0005-0000-0000-00001A000000}"/>
    <cellStyle name="?? 5" xfId="42" xr:uid="{00000000-0005-0000-0000-00001B000000}"/>
    <cellStyle name="?? 6" xfId="43" xr:uid="{00000000-0005-0000-0000-00001C000000}"/>
    <cellStyle name="?? 7" xfId="44" xr:uid="{00000000-0005-0000-0000-00001D000000}"/>
    <cellStyle name="?_x001d_??%U©÷u&amp;H©÷9_x0008_? s_x000a__x0007__x0001__x0001_" xfId="45" xr:uid="{00000000-0005-0000-0000-00001E000000}"/>
    <cellStyle name="?_x001d_??%U©÷u&amp;H©÷9_x0008_? s_x000a__x0007__x0001__x0001_ 10" xfId="46" xr:uid="{00000000-0005-0000-0000-00001F000000}"/>
    <cellStyle name="?_x001d_??%U©÷u&amp;H©÷9_x0008_? s_x000a__x0007__x0001__x0001_ 11" xfId="47" xr:uid="{00000000-0005-0000-0000-000020000000}"/>
    <cellStyle name="?_x001d_??%U©÷u&amp;H©÷9_x0008_? s_x000a__x0007__x0001__x0001_ 12" xfId="48" xr:uid="{00000000-0005-0000-0000-000021000000}"/>
    <cellStyle name="?_x001d_??%U©÷u&amp;H©÷9_x0008_? s_x000a__x0007__x0001__x0001_ 13" xfId="49" xr:uid="{00000000-0005-0000-0000-000022000000}"/>
    <cellStyle name="?_x001d_??%U©÷u&amp;H©÷9_x0008_? s_x000a__x0007__x0001__x0001_ 14" xfId="50" xr:uid="{00000000-0005-0000-0000-000023000000}"/>
    <cellStyle name="?_x001d_??%U©÷u&amp;H©÷9_x0008_? s_x000a__x0007__x0001__x0001_ 15" xfId="51" xr:uid="{00000000-0005-0000-0000-000024000000}"/>
    <cellStyle name="?_x001d_??%U©÷u&amp;H©÷9_x0008_? s_x000a__x0007__x0001__x0001_ 2" xfId="52" xr:uid="{00000000-0005-0000-0000-000025000000}"/>
    <cellStyle name="?_x001d_??%U©÷u&amp;H©÷9_x0008_? s_x000a__x0007__x0001__x0001_ 3" xfId="53" xr:uid="{00000000-0005-0000-0000-000026000000}"/>
    <cellStyle name="?_x001d_??%U©÷u&amp;H©÷9_x0008_? s_x000a__x0007__x0001__x0001_ 4" xfId="54" xr:uid="{00000000-0005-0000-0000-000027000000}"/>
    <cellStyle name="?_x001d_??%U©÷u&amp;H©÷9_x0008_? s_x000a__x0007__x0001__x0001_ 5" xfId="55" xr:uid="{00000000-0005-0000-0000-000028000000}"/>
    <cellStyle name="?_x001d_??%U©÷u&amp;H©÷9_x0008_? s_x000a__x0007__x0001__x0001_ 6" xfId="56" xr:uid="{00000000-0005-0000-0000-000029000000}"/>
    <cellStyle name="?_x001d_??%U©÷u&amp;H©÷9_x0008_? s_x000a__x0007__x0001__x0001_ 7" xfId="57" xr:uid="{00000000-0005-0000-0000-00002A000000}"/>
    <cellStyle name="?_x001d_??%U©÷u&amp;H©÷9_x0008_? s_x000a__x0007__x0001__x0001_ 8" xfId="58" xr:uid="{00000000-0005-0000-0000-00002B000000}"/>
    <cellStyle name="?_x001d_??%U©÷u&amp;H©÷9_x0008_? s_x000a__x0007__x0001__x0001_ 9" xfId="59" xr:uid="{00000000-0005-0000-0000-00002C000000}"/>
    <cellStyle name="???? [0.00]_      " xfId="60" xr:uid="{00000000-0005-0000-0000-00002D000000}"/>
    <cellStyle name="??????" xfId="61" xr:uid="{00000000-0005-0000-0000-00002E000000}"/>
    <cellStyle name="????_      " xfId="62" xr:uid="{00000000-0005-0000-0000-00002F000000}"/>
    <cellStyle name="???[0]_?? DI" xfId="63" xr:uid="{00000000-0005-0000-0000-000030000000}"/>
    <cellStyle name="???_?? DI" xfId="64" xr:uid="{00000000-0005-0000-0000-000031000000}"/>
    <cellStyle name="??[0]_BRE" xfId="65" xr:uid="{00000000-0005-0000-0000-000032000000}"/>
    <cellStyle name="??_      " xfId="66" xr:uid="{00000000-0005-0000-0000-000033000000}"/>
    <cellStyle name="??A? [0]_laroux_1_¢¬???¢â? " xfId="67" xr:uid="{00000000-0005-0000-0000-000034000000}"/>
    <cellStyle name="??A?_laroux_1_¢¬???¢â? " xfId="68" xr:uid="{00000000-0005-0000-0000-000035000000}"/>
    <cellStyle name="?_x005f_x001d_??%U©÷u&amp;H©÷9_x005f_x0008_? s_x005f_x000a__x005f_x0007__x005f_x0001__x005f_x0001_" xfId="69" xr:uid="{00000000-0005-0000-0000-000036000000}"/>
    <cellStyle name="?_x005f_x001d_??%U©÷u&amp;H©÷9_x005f_x0008_?_x005f_x0009_s_x005f_x000a__x005f_x0007__x005f_x0001__x005f_x0001_" xfId="70" xr:uid="{00000000-0005-0000-0000-000037000000}"/>
    <cellStyle name="?_x005f_x005f_x005f_x001d_??%U©÷u&amp;H©÷9_x005f_x005f_x005f_x0008_? s_x005f_x005f_x005f_x000a__x005f_x005f_x005f_x0007__x005f_x005f_x005f_x0001__x005f_x005f_x005f_x0001_" xfId="71" xr:uid="{00000000-0005-0000-0000-000038000000}"/>
    <cellStyle name="?¡±¢¥?_?¨ù??¢´¢¥_¢¬???¢â? " xfId="72" xr:uid="{00000000-0005-0000-0000-000039000000}"/>
    <cellStyle name="?ðÇ%U?&amp;H?_x0008_?s_x000a__x0007__x0001__x0001_" xfId="73" xr:uid="{00000000-0005-0000-0000-00003A000000}"/>
    <cellStyle name="?ðÇ%U?&amp;H?_x0008_?s_x000a__x0007__x0001__x0001_ 10" xfId="74" xr:uid="{00000000-0005-0000-0000-00003B000000}"/>
    <cellStyle name="?ðÇ%U?&amp;H?_x0008_?s_x000a__x0007__x0001__x0001_ 11" xfId="75" xr:uid="{00000000-0005-0000-0000-00003C000000}"/>
    <cellStyle name="?ðÇ%U?&amp;H?_x0008_?s_x000a__x0007__x0001__x0001_ 12" xfId="76" xr:uid="{00000000-0005-0000-0000-00003D000000}"/>
    <cellStyle name="?ðÇ%U?&amp;H?_x0008_?s_x000a__x0007__x0001__x0001_ 13" xfId="77" xr:uid="{00000000-0005-0000-0000-00003E000000}"/>
    <cellStyle name="?ðÇ%U?&amp;H?_x0008_?s_x000a__x0007__x0001__x0001_ 14" xfId="78" xr:uid="{00000000-0005-0000-0000-00003F000000}"/>
    <cellStyle name="?ðÇ%U?&amp;H?_x0008_?s_x000a__x0007__x0001__x0001_ 15" xfId="79" xr:uid="{00000000-0005-0000-0000-000040000000}"/>
    <cellStyle name="?ðÇ%U?&amp;H?_x0008_?s_x000a__x0007__x0001__x0001_ 2" xfId="80" xr:uid="{00000000-0005-0000-0000-000041000000}"/>
    <cellStyle name="?ðÇ%U?&amp;H?_x0008_?s_x000a__x0007__x0001__x0001_ 3" xfId="81" xr:uid="{00000000-0005-0000-0000-000042000000}"/>
    <cellStyle name="?ðÇ%U?&amp;H?_x0008_?s_x000a__x0007__x0001__x0001_ 4" xfId="82" xr:uid="{00000000-0005-0000-0000-000043000000}"/>
    <cellStyle name="?ðÇ%U?&amp;H?_x0008_?s_x000a__x0007__x0001__x0001_ 5" xfId="83" xr:uid="{00000000-0005-0000-0000-000044000000}"/>
    <cellStyle name="?ðÇ%U?&amp;H?_x0008_?s_x000a__x0007__x0001__x0001_ 6" xfId="84" xr:uid="{00000000-0005-0000-0000-000045000000}"/>
    <cellStyle name="?ðÇ%U?&amp;H?_x0008_?s_x000a__x0007__x0001__x0001_ 7" xfId="85" xr:uid="{00000000-0005-0000-0000-000046000000}"/>
    <cellStyle name="?ðÇ%U?&amp;H?_x0008_?s_x000a__x0007__x0001__x0001_ 8" xfId="86" xr:uid="{00000000-0005-0000-0000-000047000000}"/>
    <cellStyle name="?ðÇ%U?&amp;H?_x0008_?s_x000a__x0007__x0001__x0001_ 9" xfId="87" xr:uid="{00000000-0005-0000-0000-000048000000}"/>
    <cellStyle name="?ðÇ%U?&amp;H?_x005f_x0008_?s_x005f_x000a__x005f_x0007__x005f_x0001__x005f_x0001_" xfId="88" xr:uid="{00000000-0005-0000-0000-000049000000}"/>
    <cellStyle name="@ET_Style?.font5" xfId="89" xr:uid="{00000000-0005-0000-0000-00004A000000}"/>
    <cellStyle name="[0]_Chi phÝ kh¸c_V" xfId="90" xr:uid="{00000000-0005-0000-0000-00004B000000}"/>
    <cellStyle name="_!1 1 bao cao giao KH ve HTCMT vung TNB   12-12-2011" xfId="91" xr:uid="{00000000-0005-0000-0000-00004C000000}"/>
    <cellStyle name="_x0001__!1 1 bao cao giao KH ve HTCMT vung TNB   12-12-2011" xfId="92" xr:uid="{00000000-0005-0000-0000-00004D000000}"/>
    <cellStyle name="_!1 1 bao cao giao KH ve HTCMT vung TNB   12-12-2011 2" xfId="4281" xr:uid="{00000000-0005-0000-0000-00004E000000}"/>
    <cellStyle name="_1 TONG HOP - CA NA" xfId="93" xr:uid="{00000000-0005-0000-0000-00004F000000}"/>
    <cellStyle name="_123_DONG_THANH_Moi" xfId="94" xr:uid="{00000000-0005-0000-0000-000050000000}"/>
    <cellStyle name="_123_DONG_THANH_Moi_!1 1 bao cao giao KH ve HTCMT vung TNB   12-12-2011" xfId="95" xr:uid="{00000000-0005-0000-0000-000051000000}"/>
    <cellStyle name="_123_DONG_THANH_Moi_KH TPCP vung TNB (03-1-2012)" xfId="96" xr:uid="{00000000-0005-0000-0000-000052000000}"/>
    <cellStyle name="_73118_79029" xfId="4282" xr:uid="{00000000-0005-0000-0000-000053000000}"/>
    <cellStyle name="_Bang Chi tieu (2)" xfId="97" xr:uid="{00000000-0005-0000-0000-000054000000}"/>
    <cellStyle name="_BAO GIA NGAY 24-10-08 (co dam)" xfId="98" xr:uid="{00000000-0005-0000-0000-000055000000}"/>
    <cellStyle name="_BC  NAM 2007" xfId="99" xr:uid="{00000000-0005-0000-0000-000056000000}"/>
    <cellStyle name="_BC CV 6403 BKHĐT" xfId="100" xr:uid="{00000000-0005-0000-0000-000057000000}"/>
    <cellStyle name="_BC thuc hien KH 2009" xfId="101" xr:uid="{00000000-0005-0000-0000-000058000000}"/>
    <cellStyle name="_BC thuc hien KH 2009_15_10_2013 BC nhu cau von doi ung ODA (2014-2016) ngay 15102013 Sua" xfId="102" xr:uid="{00000000-0005-0000-0000-000059000000}"/>
    <cellStyle name="_BC thuc hien KH 2009_BC nhu cau von doi ung ODA nganh NN (BKH)" xfId="103" xr:uid="{00000000-0005-0000-0000-00005A000000}"/>
    <cellStyle name="_BC thuc hien KH 2009_BC nhu cau von doi ung ODA nganh NN (BKH)_05-12  KH trung han 2016-2020 - Liem Thinh edited" xfId="104" xr:uid="{00000000-0005-0000-0000-00005B000000}"/>
    <cellStyle name="_BC thuc hien KH 2009_BC nhu cau von doi ung ODA nganh NN (BKH)_Copy of 05-12  KH trung han 2016-2020 - Liem Thinh edited (1)" xfId="105" xr:uid="{00000000-0005-0000-0000-00005C000000}"/>
    <cellStyle name="_BC thuc hien KH 2009_BC Tai co cau (bieu TH)" xfId="106" xr:uid="{00000000-0005-0000-0000-00005D000000}"/>
    <cellStyle name="_BC thuc hien KH 2009_BC Tai co cau (bieu TH)_05-12  KH trung han 2016-2020 - Liem Thinh edited" xfId="107" xr:uid="{00000000-0005-0000-0000-00005E000000}"/>
    <cellStyle name="_BC thuc hien KH 2009_BC Tai co cau (bieu TH)_Copy of 05-12  KH trung han 2016-2020 - Liem Thinh edited (1)" xfId="108" xr:uid="{00000000-0005-0000-0000-00005F000000}"/>
    <cellStyle name="_BC thuc hien KH 2009_DK 2014-2015 final" xfId="109" xr:uid="{00000000-0005-0000-0000-000060000000}"/>
    <cellStyle name="_BC thuc hien KH 2009_DK 2014-2015 final_05-12  KH trung han 2016-2020 - Liem Thinh edited" xfId="110" xr:uid="{00000000-0005-0000-0000-000061000000}"/>
    <cellStyle name="_BC thuc hien KH 2009_DK 2014-2015 final_Copy of 05-12  KH trung han 2016-2020 - Liem Thinh edited (1)" xfId="111" xr:uid="{00000000-0005-0000-0000-000062000000}"/>
    <cellStyle name="_BC thuc hien KH 2009_DK 2014-2015 new" xfId="112" xr:uid="{00000000-0005-0000-0000-000063000000}"/>
    <cellStyle name="_BC thuc hien KH 2009_DK 2014-2015 new_05-12  KH trung han 2016-2020 - Liem Thinh edited" xfId="113" xr:uid="{00000000-0005-0000-0000-000064000000}"/>
    <cellStyle name="_BC thuc hien KH 2009_DK 2014-2015 new_Copy of 05-12  KH trung han 2016-2020 - Liem Thinh edited (1)" xfId="114" xr:uid="{00000000-0005-0000-0000-000065000000}"/>
    <cellStyle name="_BC thuc hien KH 2009_DK KH CBDT 2014 11-11-2013" xfId="115" xr:uid="{00000000-0005-0000-0000-000066000000}"/>
    <cellStyle name="_BC thuc hien KH 2009_DK KH CBDT 2014 11-11-2013(1)" xfId="116" xr:uid="{00000000-0005-0000-0000-000067000000}"/>
    <cellStyle name="_BC thuc hien KH 2009_DK KH CBDT 2014 11-11-2013(1)_05-12  KH trung han 2016-2020 - Liem Thinh edited" xfId="117" xr:uid="{00000000-0005-0000-0000-000068000000}"/>
    <cellStyle name="_BC thuc hien KH 2009_DK KH CBDT 2014 11-11-2013(1)_Copy of 05-12  KH trung han 2016-2020 - Liem Thinh edited (1)" xfId="118" xr:uid="{00000000-0005-0000-0000-000069000000}"/>
    <cellStyle name="_BC thuc hien KH 2009_DK KH CBDT 2014 11-11-2013_05-12  KH trung han 2016-2020 - Liem Thinh edited" xfId="119" xr:uid="{00000000-0005-0000-0000-00006A000000}"/>
    <cellStyle name="_BC thuc hien KH 2009_DK KH CBDT 2014 11-11-2013_Copy of 05-12  KH trung han 2016-2020 - Liem Thinh edited (1)" xfId="120" xr:uid="{00000000-0005-0000-0000-00006B000000}"/>
    <cellStyle name="_BC thuc hien KH 2009_KH 2011-2015" xfId="121" xr:uid="{00000000-0005-0000-0000-00006C000000}"/>
    <cellStyle name="_BC thuc hien KH 2009_tai co cau dau tu (tong hop)1" xfId="122" xr:uid="{00000000-0005-0000-0000-00006D000000}"/>
    <cellStyle name="_BEN TRE" xfId="123" xr:uid="{00000000-0005-0000-0000-00006E000000}"/>
    <cellStyle name="_Bieu mau cong trinh khoi cong moi 3-4" xfId="124" xr:uid="{00000000-0005-0000-0000-00006F000000}"/>
    <cellStyle name="_Bieu Tay Nam Bo 25-11" xfId="125" xr:uid="{00000000-0005-0000-0000-000070000000}"/>
    <cellStyle name="_Bieu3ODA" xfId="126" xr:uid="{00000000-0005-0000-0000-000071000000}"/>
    <cellStyle name="_Bieu3ODA_1" xfId="127" xr:uid="{00000000-0005-0000-0000-000072000000}"/>
    <cellStyle name="_Bieu4HTMT" xfId="128" xr:uid="{00000000-0005-0000-0000-000073000000}"/>
    <cellStyle name="_Bieu4HTMT_!1 1 bao cao giao KH ve HTCMT vung TNB   12-12-2011" xfId="129" xr:uid="{00000000-0005-0000-0000-000074000000}"/>
    <cellStyle name="_Bieu4HTMT_KH TPCP vung TNB (03-1-2012)" xfId="130" xr:uid="{00000000-0005-0000-0000-000075000000}"/>
    <cellStyle name="_Book1" xfId="131" xr:uid="{00000000-0005-0000-0000-000076000000}"/>
    <cellStyle name="_Book1 2" xfId="132" xr:uid="{00000000-0005-0000-0000-000077000000}"/>
    <cellStyle name="_Book1_!1 1 bao cao giao KH ve HTCMT vung TNB   12-12-2011" xfId="133" xr:uid="{00000000-0005-0000-0000-000078000000}"/>
    <cellStyle name="_Book1_1" xfId="134" xr:uid="{00000000-0005-0000-0000-000079000000}"/>
    <cellStyle name="_Book1_BC-QT-WB-dthao" xfId="135" xr:uid="{00000000-0005-0000-0000-00007A000000}"/>
    <cellStyle name="_Book1_BC-QT-WB-dthao_05-12  KH trung han 2016-2020 - Liem Thinh edited" xfId="136" xr:uid="{00000000-0005-0000-0000-00007B000000}"/>
    <cellStyle name="_Book1_BC-QT-WB-dthao_Copy of 05-12  KH trung han 2016-2020 - Liem Thinh edited (1)" xfId="137" xr:uid="{00000000-0005-0000-0000-00007C000000}"/>
    <cellStyle name="_Book1_BC-QT-WB-dthao_KH TPCP 2016-2020 (tong hop)" xfId="138" xr:uid="{00000000-0005-0000-0000-00007D000000}"/>
    <cellStyle name="_Book1_Bieu3ODA" xfId="139" xr:uid="{00000000-0005-0000-0000-00007E000000}"/>
    <cellStyle name="_Book1_Bieu4HTMT" xfId="140" xr:uid="{00000000-0005-0000-0000-00007F000000}"/>
    <cellStyle name="_Book1_Bieu4HTMT_!1 1 bao cao giao KH ve HTCMT vung TNB   12-12-2011" xfId="141" xr:uid="{00000000-0005-0000-0000-000080000000}"/>
    <cellStyle name="_Book1_Bieu4HTMT_KH TPCP vung TNB (03-1-2012)" xfId="142" xr:uid="{00000000-0005-0000-0000-000081000000}"/>
    <cellStyle name="_Book1_bo sung von KCH nam 2010 va Du an tre kho khan" xfId="143" xr:uid="{00000000-0005-0000-0000-000082000000}"/>
    <cellStyle name="_Book1_bo sung von KCH nam 2010 va Du an tre kho khan_!1 1 bao cao giao KH ve HTCMT vung TNB   12-12-2011" xfId="144" xr:uid="{00000000-0005-0000-0000-000083000000}"/>
    <cellStyle name="_Book1_bo sung von KCH nam 2010 va Du an tre kho khan_KH TPCP vung TNB (03-1-2012)" xfId="145" xr:uid="{00000000-0005-0000-0000-000084000000}"/>
    <cellStyle name="_Book1_cong hang rao" xfId="146" xr:uid="{00000000-0005-0000-0000-000085000000}"/>
    <cellStyle name="_Book1_cong hang rao_!1 1 bao cao giao KH ve HTCMT vung TNB   12-12-2011" xfId="147" xr:uid="{00000000-0005-0000-0000-000086000000}"/>
    <cellStyle name="_Book1_cong hang rao_KH TPCP vung TNB (03-1-2012)" xfId="148" xr:uid="{00000000-0005-0000-0000-000087000000}"/>
    <cellStyle name="_Book1_danh muc chuan bi dau tu 2011 ngay 07-6-2011" xfId="149" xr:uid="{00000000-0005-0000-0000-000088000000}"/>
    <cellStyle name="_Book1_danh muc chuan bi dau tu 2011 ngay 07-6-2011_!1 1 bao cao giao KH ve HTCMT vung TNB   12-12-2011" xfId="150" xr:uid="{00000000-0005-0000-0000-000089000000}"/>
    <cellStyle name="_Book1_danh muc chuan bi dau tu 2011 ngay 07-6-2011_KH TPCP vung TNB (03-1-2012)" xfId="151" xr:uid="{00000000-0005-0000-0000-00008A000000}"/>
    <cellStyle name="_Book1_Danh muc pbo nguon von XSKT, XDCB nam 2009 chuyen qua nam 2010" xfId="152" xr:uid="{00000000-0005-0000-0000-00008B000000}"/>
    <cellStyle name="_Book1_Danh muc pbo nguon von XSKT, XDCB nam 2009 chuyen qua nam 2010_!1 1 bao cao giao KH ve HTCMT vung TNB   12-12-2011" xfId="153" xr:uid="{00000000-0005-0000-0000-00008C000000}"/>
    <cellStyle name="_Book1_Danh muc pbo nguon von XSKT, XDCB nam 2009 chuyen qua nam 2010_KH TPCP vung TNB (03-1-2012)" xfId="154" xr:uid="{00000000-0005-0000-0000-00008D000000}"/>
    <cellStyle name="_Book1_dieu chinh KH 2011 ngay 26-5-2011111" xfId="155" xr:uid="{00000000-0005-0000-0000-00008E000000}"/>
    <cellStyle name="_Book1_dieu chinh KH 2011 ngay 26-5-2011111_!1 1 bao cao giao KH ve HTCMT vung TNB   12-12-2011" xfId="156" xr:uid="{00000000-0005-0000-0000-00008F000000}"/>
    <cellStyle name="_Book1_dieu chinh KH 2011 ngay 26-5-2011111_KH TPCP vung TNB (03-1-2012)" xfId="157" xr:uid="{00000000-0005-0000-0000-000090000000}"/>
    <cellStyle name="_Book1_DS KCH PHAN BO VON NSDP NAM 2010" xfId="158" xr:uid="{00000000-0005-0000-0000-000091000000}"/>
    <cellStyle name="_Book1_DS KCH PHAN BO VON NSDP NAM 2010_!1 1 bao cao giao KH ve HTCMT vung TNB   12-12-2011" xfId="159" xr:uid="{00000000-0005-0000-0000-000092000000}"/>
    <cellStyle name="_Book1_DS KCH PHAN BO VON NSDP NAM 2010_KH TPCP vung TNB (03-1-2012)" xfId="160" xr:uid="{00000000-0005-0000-0000-000093000000}"/>
    <cellStyle name="_Book1_giao KH 2011 ngay 10-12-2010" xfId="161" xr:uid="{00000000-0005-0000-0000-000094000000}"/>
    <cellStyle name="_Book1_giao KH 2011 ngay 10-12-2010_!1 1 bao cao giao KH ve HTCMT vung TNB   12-12-2011" xfId="162" xr:uid="{00000000-0005-0000-0000-000095000000}"/>
    <cellStyle name="_Book1_giao KH 2011 ngay 10-12-2010_KH TPCP vung TNB (03-1-2012)" xfId="163" xr:uid="{00000000-0005-0000-0000-000096000000}"/>
    <cellStyle name="_Book1_IN" xfId="164" xr:uid="{00000000-0005-0000-0000-000097000000}"/>
    <cellStyle name="_Book1_Kh ql62 (2010) 11-09" xfId="166" xr:uid="{00000000-0005-0000-0000-000098000000}"/>
    <cellStyle name="_Book1_KH TPCP vung TNB (03-1-2012)" xfId="167" xr:uid="{00000000-0005-0000-0000-000099000000}"/>
    <cellStyle name="_Book1_Khung 2012" xfId="168" xr:uid="{00000000-0005-0000-0000-00009A000000}"/>
    <cellStyle name="_Book1_kien giang 2" xfId="165" xr:uid="{00000000-0005-0000-0000-00009B000000}"/>
    <cellStyle name="_Book1_phu luc tong ket tinh hinh TH giai doan 03-10 (ngay 30)" xfId="169" xr:uid="{00000000-0005-0000-0000-00009C000000}"/>
    <cellStyle name="_Book1_phu luc tong ket tinh hinh TH giai doan 03-10 (ngay 30)_!1 1 bao cao giao KH ve HTCMT vung TNB   12-12-2011" xfId="170" xr:uid="{00000000-0005-0000-0000-00009D000000}"/>
    <cellStyle name="_Book1_phu luc tong ket tinh hinh TH giai doan 03-10 (ngay 30)_KH TPCP vung TNB (03-1-2012)" xfId="171" xr:uid="{00000000-0005-0000-0000-00009E000000}"/>
    <cellStyle name="_C.cong+B.luong-Sanluong" xfId="172" xr:uid="{00000000-0005-0000-0000-00009F000000}"/>
    <cellStyle name="_cong hang rao" xfId="173" xr:uid="{00000000-0005-0000-0000-0000A0000000}"/>
    <cellStyle name="_dien chieu sang" xfId="174" xr:uid="{00000000-0005-0000-0000-0000A1000000}"/>
    <cellStyle name="_DK KH 2009" xfId="175" xr:uid="{00000000-0005-0000-0000-0000A2000000}"/>
    <cellStyle name="_DK KH 2009_15_10_2013 BC nhu cau von doi ung ODA (2014-2016) ngay 15102013 Sua" xfId="176" xr:uid="{00000000-0005-0000-0000-0000A3000000}"/>
    <cellStyle name="_DK KH 2009_BC nhu cau von doi ung ODA nganh NN (BKH)" xfId="177" xr:uid="{00000000-0005-0000-0000-0000A4000000}"/>
    <cellStyle name="_DK KH 2009_BC nhu cau von doi ung ODA nganh NN (BKH)_05-12  KH trung han 2016-2020 - Liem Thinh edited" xfId="178" xr:uid="{00000000-0005-0000-0000-0000A5000000}"/>
    <cellStyle name="_DK KH 2009_BC nhu cau von doi ung ODA nganh NN (BKH)_Copy of 05-12  KH trung han 2016-2020 - Liem Thinh edited (1)" xfId="179" xr:uid="{00000000-0005-0000-0000-0000A6000000}"/>
    <cellStyle name="_DK KH 2009_BC Tai co cau (bieu TH)" xfId="180" xr:uid="{00000000-0005-0000-0000-0000A7000000}"/>
    <cellStyle name="_DK KH 2009_BC Tai co cau (bieu TH)_05-12  KH trung han 2016-2020 - Liem Thinh edited" xfId="181" xr:uid="{00000000-0005-0000-0000-0000A8000000}"/>
    <cellStyle name="_DK KH 2009_BC Tai co cau (bieu TH)_Copy of 05-12  KH trung han 2016-2020 - Liem Thinh edited (1)" xfId="182" xr:uid="{00000000-0005-0000-0000-0000A9000000}"/>
    <cellStyle name="_DK KH 2009_DK 2014-2015 final" xfId="183" xr:uid="{00000000-0005-0000-0000-0000AA000000}"/>
    <cellStyle name="_DK KH 2009_DK 2014-2015 final_05-12  KH trung han 2016-2020 - Liem Thinh edited" xfId="184" xr:uid="{00000000-0005-0000-0000-0000AB000000}"/>
    <cellStyle name="_DK KH 2009_DK 2014-2015 final_Copy of 05-12  KH trung han 2016-2020 - Liem Thinh edited (1)" xfId="185" xr:uid="{00000000-0005-0000-0000-0000AC000000}"/>
    <cellStyle name="_DK KH 2009_DK 2014-2015 new" xfId="186" xr:uid="{00000000-0005-0000-0000-0000AD000000}"/>
    <cellStyle name="_DK KH 2009_DK 2014-2015 new_05-12  KH trung han 2016-2020 - Liem Thinh edited" xfId="187" xr:uid="{00000000-0005-0000-0000-0000AE000000}"/>
    <cellStyle name="_DK KH 2009_DK 2014-2015 new_Copy of 05-12  KH trung han 2016-2020 - Liem Thinh edited (1)" xfId="188" xr:uid="{00000000-0005-0000-0000-0000AF000000}"/>
    <cellStyle name="_DK KH 2009_DK KH CBDT 2014 11-11-2013" xfId="189" xr:uid="{00000000-0005-0000-0000-0000B0000000}"/>
    <cellStyle name="_DK KH 2009_DK KH CBDT 2014 11-11-2013(1)" xfId="190" xr:uid="{00000000-0005-0000-0000-0000B1000000}"/>
    <cellStyle name="_DK KH 2009_DK KH CBDT 2014 11-11-2013(1)_05-12  KH trung han 2016-2020 - Liem Thinh edited" xfId="191" xr:uid="{00000000-0005-0000-0000-0000B2000000}"/>
    <cellStyle name="_DK KH 2009_DK KH CBDT 2014 11-11-2013(1)_Copy of 05-12  KH trung han 2016-2020 - Liem Thinh edited (1)" xfId="192" xr:uid="{00000000-0005-0000-0000-0000B3000000}"/>
    <cellStyle name="_DK KH 2009_DK KH CBDT 2014 11-11-2013_05-12  KH trung han 2016-2020 - Liem Thinh edited" xfId="193" xr:uid="{00000000-0005-0000-0000-0000B4000000}"/>
    <cellStyle name="_DK KH 2009_DK KH CBDT 2014 11-11-2013_Copy of 05-12  KH trung han 2016-2020 - Liem Thinh edited (1)" xfId="194" xr:uid="{00000000-0005-0000-0000-0000B5000000}"/>
    <cellStyle name="_DK KH 2009_KH 2011-2015" xfId="195" xr:uid="{00000000-0005-0000-0000-0000B6000000}"/>
    <cellStyle name="_DK KH 2009_tai co cau dau tu (tong hop)1" xfId="196" xr:uid="{00000000-0005-0000-0000-0000B7000000}"/>
    <cellStyle name="_DK KH 2010" xfId="197" xr:uid="{00000000-0005-0000-0000-0000B8000000}"/>
    <cellStyle name="_DK KH 2010 (BKH)" xfId="198" xr:uid="{00000000-0005-0000-0000-0000B9000000}"/>
    <cellStyle name="_DK KH 2010_15_10_2013 BC nhu cau von doi ung ODA (2014-2016) ngay 15102013 Sua" xfId="199" xr:uid="{00000000-0005-0000-0000-0000BA000000}"/>
    <cellStyle name="_DK KH 2010_BC nhu cau von doi ung ODA nganh NN (BKH)" xfId="200" xr:uid="{00000000-0005-0000-0000-0000BB000000}"/>
    <cellStyle name="_DK KH 2010_BC nhu cau von doi ung ODA nganh NN (BKH)_05-12  KH trung han 2016-2020 - Liem Thinh edited" xfId="201" xr:uid="{00000000-0005-0000-0000-0000BC000000}"/>
    <cellStyle name="_DK KH 2010_BC nhu cau von doi ung ODA nganh NN (BKH)_Copy of 05-12  KH trung han 2016-2020 - Liem Thinh edited (1)" xfId="202" xr:uid="{00000000-0005-0000-0000-0000BD000000}"/>
    <cellStyle name="_DK KH 2010_BC Tai co cau (bieu TH)" xfId="203" xr:uid="{00000000-0005-0000-0000-0000BE000000}"/>
    <cellStyle name="_DK KH 2010_BC Tai co cau (bieu TH)_05-12  KH trung han 2016-2020 - Liem Thinh edited" xfId="204" xr:uid="{00000000-0005-0000-0000-0000BF000000}"/>
    <cellStyle name="_DK KH 2010_BC Tai co cau (bieu TH)_Copy of 05-12  KH trung han 2016-2020 - Liem Thinh edited (1)" xfId="205" xr:uid="{00000000-0005-0000-0000-0000C0000000}"/>
    <cellStyle name="_DK KH 2010_DK 2014-2015 final" xfId="206" xr:uid="{00000000-0005-0000-0000-0000C1000000}"/>
    <cellStyle name="_DK KH 2010_DK 2014-2015 final_05-12  KH trung han 2016-2020 - Liem Thinh edited" xfId="207" xr:uid="{00000000-0005-0000-0000-0000C2000000}"/>
    <cellStyle name="_DK KH 2010_DK 2014-2015 final_Copy of 05-12  KH trung han 2016-2020 - Liem Thinh edited (1)" xfId="208" xr:uid="{00000000-0005-0000-0000-0000C3000000}"/>
    <cellStyle name="_DK KH 2010_DK 2014-2015 new" xfId="209" xr:uid="{00000000-0005-0000-0000-0000C4000000}"/>
    <cellStyle name="_DK KH 2010_DK 2014-2015 new_05-12  KH trung han 2016-2020 - Liem Thinh edited" xfId="210" xr:uid="{00000000-0005-0000-0000-0000C5000000}"/>
    <cellStyle name="_DK KH 2010_DK 2014-2015 new_Copy of 05-12  KH trung han 2016-2020 - Liem Thinh edited (1)" xfId="211" xr:uid="{00000000-0005-0000-0000-0000C6000000}"/>
    <cellStyle name="_DK KH 2010_DK KH CBDT 2014 11-11-2013" xfId="212" xr:uid="{00000000-0005-0000-0000-0000C7000000}"/>
    <cellStyle name="_DK KH 2010_DK KH CBDT 2014 11-11-2013(1)" xfId="213" xr:uid="{00000000-0005-0000-0000-0000C8000000}"/>
    <cellStyle name="_DK KH 2010_DK KH CBDT 2014 11-11-2013(1)_05-12  KH trung han 2016-2020 - Liem Thinh edited" xfId="214" xr:uid="{00000000-0005-0000-0000-0000C9000000}"/>
    <cellStyle name="_DK KH 2010_DK KH CBDT 2014 11-11-2013(1)_Copy of 05-12  KH trung han 2016-2020 - Liem Thinh edited (1)" xfId="215" xr:uid="{00000000-0005-0000-0000-0000CA000000}"/>
    <cellStyle name="_DK KH 2010_DK KH CBDT 2014 11-11-2013_05-12  KH trung han 2016-2020 - Liem Thinh edited" xfId="216" xr:uid="{00000000-0005-0000-0000-0000CB000000}"/>
    <cellStyle name="_DK KH 2010_DK KH CBDT 2014 11-11-2013_Copy of 05-12  KH trung han 2016-2020 - Liem Thinh edited (1)" xfId="217" xr:uid="{00000000-0005-0000-0000-0000CC000000}"/>
    <cellStyle name="_DK KH 2010_KH 2011-2015" xfId="218" xr:uid="{00000000-0005-0000-0000-0000CD000000}"/>
    <cellStyle name="_DK KH 2010_tai co cau dau tu (tong hop)1" xfId="219" xr:uid="{00000000-0005-0000-0000-0000CE000000}"/>
    <cellStyle name="_DK TPCP 2010" xfId="220" xr:uid="{00000000-0005-0000-0000-0000CF000000}"/>
    <cellStyle name="_DO-D1500-KHONG CO TRONG DT" xfId="221" xr:uid="{00000000-0005-0000-0000-0000D0000000}"/>
    <cellStyle name="_Dong Thap" xfId="222" xr:uid="{00000000-0005-0000-0000-0000D1000000}"/>
    <cellStyle name="_Duyet TK thay đôi" xfId="223" xr:uid="{00000000-0005-0000-0000-0000D2000000}"/>
    <cellStyle name="_Duyet TK thay đôi_!1 1 bao cao giao KH ve HTCMT vung TNB   12-12-2011" xfId="224" xr:uid="{00000000-0005-0000-0000-0000D3000000}"/>
    <cellStyle name="_Duyet TK thay đôi_Bieu4HTMT" xfId="225" xr:uid="{00000000-0005-0000-0000-0000D4000000}"/>
    <cellStyle name="_Duyet TK thay đôi_Bieu4HTMT_!1 1 bao cao giao KH ve HTCMT vung TNB   12-12-2011" xfId="226" xr:uid="{00000000-0005-0000-0000-0000D5000000}"/>
    <cellStyle name="_Duyet TK thay đôi_Bieu4HTMT_KH TPCP vung TNB (03-1-2012)" xfId="227" xr:uid="{00000000-0005-0000-0000-0000D6000000}"/>
    <cellStyle name="_Duyet TK thay đôi_KH TPCP vung TNB (03-1-2012)" xfId="228" xr:uid="{00000000-0005-0000-0000-0000D7000000}"/>
    <cellStyle name="_GOITHAUSO2" xfId="229" xr:uid="{00000000-0005-0000-0000-0000D8000000}"/>
    <cellStyle name="_GOITHAUSO3" xfId="230" xr:uid="{00000000-0005-0000-0000-0000D9000000}"/>
    <cellStyle name="_GOITHAUSO4" xfId="231" xr:uid="{00000000-0005-0000-0000-0000DA000000}"/>
    <cellStyle name="_GTGT 2003" xfId="232" xr:uid="{00000000-0005-0000-0000-0000DB000000}"/>
    <cellStyle name="_Gui VU KH 5-5-09" xfId="233" xr:uid="{00000000-0005-0000-0000-0000DC000000}"/>
    <cellStyle name="_Gui VU KH 5-5-09_05-12  KH trung han 2016-2020 - Liem Thinh edited" xfId="234" xr:uid="{00000000-0005-0000-0000-0000DD000000}"/>
    <cellStyle name="_Gui VU KH 5-5-09_Copy of 05-12  KH trung han 2016-2020 - Liem Thinh edited (1)" xfId="235" xr:uid="{00000000-0005-0000-0000-0000DE000000}"/>
    <cellStyle name="_Gui VU KH 5-5-09_KH TPCP 2016-2020 (tong hop)" xfId="236" xr:uid="{00000000-0005-0000-0000-0000DF000000}"/>
    <cellStyle name="_HaHoa_TDT_DienCSang" xfId="237" xr:uid="{00000000-0005-0000-0000-0000E0000000}"/>
    <cellStyle name="_HaHoa19-5-07" xfId="238" xr:uid="{00000000-0005-0000-0000-0000E1000000}"/>
    <cellStyle name="_IN" xfId="239" xr:uid="{00000000-0005-0000-0000-0000E2000000}"/>
    <cellStyle name="_IN_!1 1 bao cao giao KH ve HTCMT vung TNB   12-12-2011" xfId="240" xr:uid="{00000000-0005-0000-0000-0000E3000000}"/>
    <cellStyle name="_IN_KH TPCP vung TNB (03-1-2012)" xfId="241" xr:uid="{00000000-0005-0000-0000-0000E4000000}"/>
    <cellStyle name="_KE KHAI THUE GTGT 2004" xfId="242" xr:uid="{00000000-0005-0000-0000-0000E5000000}"/>
    <cellStyle name="_KE KHAI THUE GTGT 2004_BCTC2004" xfId="243" xr:uid="{00000000-0005-0000-0000-0000E6000000}"/>
    <cellStyle name="_KH 2009" xfId="809" xr:uid="{00000000-0005-0000-0000-0000E7000000}"/>
    <cellStyle name="_KH 2009_15_10_2013 BC nhu cau von doi ung ODA (2014-2016) ngay 15102013 Sua" xfId="810" xr:uid="{00000000-0005-0000-0000-0000E8000000}"/>
    <cellStyle name="_KH 2009_BC nhu cau von doi ung ODA nganh NN (BKH)" xfId="811" xr:uid="{00000000-0005-0000-0000-0000E9000000}"/>
    <cellStyle name="_KH 2009_BC nhu cau von doi ung ODA nganh NN (BKH)_05-12  KH trung han 2016-2020 - Liem Thinh edited" xfId="812" xr:uid="{00000000-0005-0000-0000-0000EA000000}"/>
    <cellStyle name="_KH 2009_BC nhu cau von doi ung ODA nganh NN (BKH)_Copy of 05-12  KH trung han 2016-2020 - Liem Thinh edited (1)" xfId="813" xr:uid="{00000000-0005-0000-0000-0000EB000000}"/>
    <cellStyle name="_KH 2009_BC Tai co cau (bieu TH)" xfId="814" xr:uid="{00000000-0005-0000-0000-0000EC000000}"/>
    <cellStyle name="_KH 2009_BC Tai co cau (bieu TH)_05-12  KH trung han 2016-2020 - Liem Thinh edited" xfId="815" xr:uid="{00000000-0005-0000-0000-0000ED000000}"/>
    <cellStyle name="_KH 2009_BC Tai co cau (bieu TH)_Copy of 05-12  KH trung han 2016-2020 - Liem Thinh edited (1)" xfId="816" xr:uid="{00000000-0005-0000-0000-0000EE000000}"/>
    <cellStyle name="_KH 2009_DK 2014-2015 final" xfId="817" xr:uid="{00000000-0005-0000-0000-0000EF000000}"/>
    <cellStyle name="_KH 2009_DK 2014-2015 final_05-12  KH trung han 2016-2020 - Liem Thinh edited" xfId="818" xr:uid="{00000000-0005-0000-0000-0000F0000000}"/>
    <cellStyle name="_KH 2009_DK 2014-2015 final_Copy of 05-12  KH trung han 2016-2020 - Liem Thinh edited (1)" xfId="819" xr:uid="{00000000-0005-0000-0000-0000F1000000}"/>
    <cellStyle name="_KH 2009_DK 2014-2015 new" xfId="820" xr:uid="{00000000-0005-0000-0000-0000F2000000}"/>
    <cellStyle name="_KH 2009_DK 2014-2015 new_05-12  KH trung han 2016-2020 - Liem Thinh edited" xfId="821" xr:uid="{00000000-0005-0000-0000-0000F3000000}"/>
    <cellStyle name="_KH 2009_DK 2014-2015 new_Copy of 05-12  KH trung han 2016-2020 - Liem Thinh edited (1)" xfId="822" xr:uid="{00000000-0005-0000-0000-0000F4000000}"/>
    <cellStyle name="_KH 2009_DK KH CBDT 2014 11-11-2013" xfId="823" xr:uid="{00000000-0005-0000-0000-0000F5000000}"/>
    <cellStyle name="_KH 2009_DK KH CBDT 2014 11-11-2013(1)" xfId="824" xr:uid="{00000000-0005-0000-0000-0000F6000000}"/>
    <cellStyle name="_KH 2009_DK KH CBDT 2014 11-11-2013(1)_05-12  KH trung han 2016-2020 - Liem Thinh edited" xfId="825" xr:uid="{00000000-0005-0000-0000-0000F7000000}"/>
    <cellStyle name="_KH 2009_DK KH CBDT 2014 11-11-2013(1)_Copy of 05-12  KH trung han 2016-2020 - Liem Thinh edited (1)" xfId="826" xr:uid="{00000000-0005-0000-0000-0000F8000000}"/>
    <cellStyle name="_KH 2009_DK KH CBDT 2014 11-11-2013_05-12  KH trung han 2016-2020 - Liem Thinh edited" xfId="827" xr:uid="{00000000-0005-0000-0000-0000F9000000}"/>
    <cellStyle name="_KH 2009_DK KH CBDT 2014 11-11-2013_Copy of 05-12  KH trung han 2016-2020 - Liem Thinh edited (1)" xfId="828" xr:uid="{00000000-0005-0000-0000-0000FA000000}"/>
    <cellStyle name="_KH 2009_KH 2011-2015" xfId="829" xr:uid="{00000000-0005-0000-0000-0000FB000000}"/>
    <cellStyle name="_KH 2009_tai co cau dau tu (tong hop)1" xfId="830" xr:uid="{00000000-0005-0000-0000-0000FC000000}"/>
    <cellStyle name="_KH 2012 (TPCP) Bac Lieu (25-12-2011)" xfId="831" xr:uid="{00000000-0005-0000-0000-0000FD000000}"/>
    <cellStyle name="_Kh ql62 (2010) 11-09" xfId="832" xr:uid="{00000000-0005-0000-0000-0000FE000000}"/>
    <cellStyle name="_KH TPCP 2010 17-3-10" xfId="833" xr:uid="{00000000-0005-0000-0000-0000FF000000}"/>
    <cellStyle name="_KH TPCP vung TNB (03-1-2012)" xfId="834" xr:uid="{00000000-0005-0000-0000-000000010000}"/>
    <cellStyle name="_KH ung von cap bach 2009-Cuc NTTS de nghi (sua)" xfId="835" xr:uid="{00000000-0005-0000-0000-000001010000}"/>
    <cellStyle name="_Khung 2012" xfId="836" xr:uid="{00000000-0005-0000-0000-000002010000}"/>
    <cellStyle name="_Khung nam 2010" xfId="837" xr:uid="{00000000-0005-0000-0000-000003010000}"/>
    <cellStyle name="_x0001__kien giang 2" xfId="244" xr:uid="{00000000-0005-0000-0000-000004010000}"/>
    <cellStyle name="_KT (2)" xfId="245" xr:uid="{00000000-0005-0000-0000-000005010000}"/>
    <cellStyle name="_KT (2) 2" xfId="246" xr:uid="{00000000-0005-0000-0000-000006010000}"/>
    <cellStyle name="_KT (2)_05-12  KH trung han 2016-2020 - Liem Thinh edited" xfId="247" xr:uid="{00000000-0005-0000-0000-000007010000}"/>
    <cellStyle name="_KT (2)_1" xfId="248" xr:uid="{00000000-0005-0000-0000-000008010000}"/>
    <cellStyle name="_KT (2)_1 2" xfId="249" xr:uid="{00000000-0005-0000-0000-000009010000}"/>
    <cellStyle name="_KT (2)_1_05-12  KH trung han 2016-2020 - Liem Thinh edited" xfId="250" xr:uid="{00000000-0005-0000-0000-00000A010000}"/>
    <cellStyle name="_KT (2)_1_Copy of 05-12  KH trung han 2016-2020 - Liem Thinh edited (1)" xfId="251" xr:uid="{00000000-0005-0000-0000-00000B010000}"/>
    <cellStyle name="_KT (2)_1_KH TPCP 2016-2020 (tong hop)" xfId="252" xr:uid="{00000000-0005-0000-0000-00000C010000}"/>
    <cellStyle name="_KT (2)_1_Lora-tungchau" xfId="253" xr:uid="{00000000-0005-0000-0000-00000D010000}"/>
    <cellStyle name="_KT (2)_1_Lora-tungchau 2" xfId="254" xr:uid="{00000000-0005-0000-0000-00000E010000}"/>
    <cellStyle name="_KT (2)_1_Lora-tungchau_05-12  KH trung han 2016-2020 - Liem Thinh edited" xfId="255" xr:uid="{00000000-0005-0000-0000-00000F010000}"/>
    <cellStyle name="_KT (2)_1_Lora-tungchau_Copy of 05-12  KH trung han 2016-2020 - Liem Thinh edited (1)" xfId="256" xr:uid="{00000000-0005-0000-0000-000010010000}"/>
    <cellStyle name="_KT (2)_1_Lora-tungchau_KH TPCP 2016-2020 (tong hop)" xfId="257" xr:uid="{00000000-0005-0000-0000-000011010000}"/>
    <cellStyle name="_KT (2)_1_Qt-HT3PQ1(CauKho)" xfId="258" xr:uid="{00000000-0005-0000-0000-000012010000}"/>
    <cellStyle name="_KT (2)_2" xfId="259" xr:uid="{00000000-0005-0000-0000-000013010000}"/>
    <cellStyle name="_KT (2)_2_TG-TH" xfId="260" xr:uid="{00000000-0005-0000-0000-000014010000}"/>
    <cellStyle name="_KT (2)_2_TG-TH 2" xfId="261" xr:uid="{00000000-0005-0000-0000-000015010000}"/>
    <cellStyle name="_KT (2)_2_TG-TH_05-12  KH trung han 2016-2020 - Liem Thinh edited" xfId="262" xr:uid="{00000000-0005-0000-0000-000016010000}"/>
    <cellStyle name="_KT (2)_2_TG-TH_ApGiaVatTu_cayxanh_latgach" xfId="263" xr:uid="{00000000-0005-0000-0000-000017010000}"/>
    <cellStyle name="_KT (2)_2_TG-TH_BANG TONG HOP TINH HINH THANH QUYET TOAN (MOI I)" xfId="264" xr:uid="{00000000-0005-0000-0000-000018010000}"/>
    <cellStyle name="_KT (2)_2_TG-TH_BANG TONG HOP TINH HINH THANH QUYET TOAN (MOI I) 2" xfId="4283" xr:uid="{00000000-0005-0000-0000-000019010000}"/>
    <cellStyle name="_KT (2)_2_TG-TH_BAO CAO KLCT PT2000" xfId="265" xr:uid="{00000000-0005-0000-0000-00001A010000}"/>
    <cellStyle name="_KT (2)_2_TG-TH_BAO CAO PT2000" xfId="266" xr:uid="{00000000-0005-0000-0000-00001B010000}"/>
    <cellStyle name="_KT (2)_2_TG-TH_BAO CAO PT2000_Book1" xfId="267" xr:uid="{00000000-0005-0000-0000-00001C010000}"/>
    <cellStyle name="_KT (2)_2_TG-TH_Bao cao XDCB 2001 - T11 KH dieu chinh 20-11-THAI" xfId="268" xr:uid="{00000000-0005-0000-0000-00001D010000}"/>
    <cellStyle name="_KT (2)_2_TG-TH_BAO GIA NGAY 24-10-08 (co dam)" xfId="269" xr:uid="{00000000-0005-0000-0000-00001E010000}"/>
    <cellStyle name="_KT (2)_2_TG-TH_BAO GIA NGAY 24-10-08 (co dam) 2" xfId="4284" xr:uid="{00000000-0005-0000-0000-00001F010000}"/>
    <cellStyle name="_KT (2)_2_TG-TH_BC  NAM 2007" xfId="270" xr:uid="{00000000-0005-0000-0000-000020010000}"/>
    <cellStyle name="_KT (2)_2_TG-TH_BC CV 6403 BKHĐT" xfId="271" xr:uid="{00000000-0005-0000-0000-000021010000}"/>
    <cellStyle name="_KT (2)_2_TG-TH_BC CV 6403 BKHĐT 2" xfId="4285" xr:uid="{00000000-0005-0000-0000-000022010000}"/>
    <cellStyle name="_KT (2)_2_TG-TH_BC NQ11-CP - chinh sua lai" xfId="272" xr:uid="{00000000-0005-0000-0000-000023010000}"/>
    <cellStyle name="_KT (2)_2_TG-TH_BC NQ11-CP-Quynh sau bieu so3" xfId="273" xr:uid="{00000000-0005-0000-0000-000024010000}"/>
    <cellStyle name="_KT (2)_2_TG-TH_BC_NQ11-CP_-_Thao_sua_lai" xfId="274" xr:uid="{00000000-0005-0000-0000-000025010000}"/>
    <cellStyle name="_KT (2)_2_TG-TH_Bieu mau cong trinh khoi cong moi 3-4" xfId="275" xr:uid="{00000000-0005-0000-0000-000026010000}"/>
    <cellStyle name="_KT (2)_2_TG-TH_Bieu mau cong trinh khoi cong moi 3-4 2" xfId="4286" xr:uid="{00000000-0005-0000-0000-000027010000}"/>
    <cellStyle name="_KT (2)_2_TG-TH_Bieu3ODA" xfId="276" xr:uid="{00000000-0005-0000-0000-000028010000}"/>
    <cellStyle name="_KT (2)_2_TG-TH_Bieu3ODA_1" xfId="277" xr:uid="{00000000-0005-0000-0000-000029010000}"/>
    <cellStyle name="_KT (2)_2_TG-TH_Bieu4HTMT" xfId="278" xr:uid="{00000000-0005-0000-0000-00002A010000}"/>
    <cellStyle name="_KT (2)_2_TG-TH_Bieu4HTMT 2" xfId="4287" xr:uid="{00000000-0005-0000-0000-00002B010000}"/>
    <cellStyle name="_KT (2)_2_TG-TH_bo sung von KCH nam 2010 va Du an tre kho khan" xfId="279" xr:uid="{00000000-0005-0000-0000-00002C010000}"/>
    <cellStyle name="_KT (2)_2_TG-TH_bo sung von KCH nam 2010 va Du an tre kho khan 2" xfId="4288" xr:uid="{00000000-0005-0000-0000-00002D010000}"/>
    <cellStyle name="_KT (2)_2_TG-TH_Book1" xfId="280" xr:uid="{00000000-0005-0000-0000-00002E010000}"/>
    <cellStyle name="_KT (2)_2_TG-TH_Book1 2" xfId="281" xr:uid="{00000000-0005-0000-0000-00002F010000}"/>
    <cellStyle name="_KT (2)_2_TG-TH_Book1_1" xfId="282" xr:uid="{00000000-0005-0000-0000-000030010000}"/>
    <cellStyle name="_KT (2)_2_TG-TH_Book1_1 2" xfId="283" xr:uid="{00000000-0005-0000-0000-000031010000}"/>
    <cellStyle name="_KT (2)_2_TG-TH_Book1_1 3" xfId="4289" xr:uid="{00000000-0005-0000-0000-000032010000}"/>
    <cellStyle name="_KT (2)_2_TG-TH_Book1_1_BC CV 6403 BKHĐT" xfId="284" xr:uid="{00000000-0005-0000-0000-000033010000}"/>
    <cellStyle name="_KT (2)_2_TG-TH_Book1_1_BC CV 6403 BKHĐT 2" xfId="4290" xr:uid="{00000000-0005-0000-0000-000034010000}"/>
    <cellStyle name="_KT (2)_2_TG-TH_Book1_1_Bieu mau cong trinh khoi cong moi 3-4" xfId="285" xr:uid="{00000000-0005-0000-0000-000035010000}"/>
    <cellStyle name="_KT (2)_2_TG-TH_Book1_1_Bieu mau cong trinh khoi cong moi 3-4 2" xfId="4291" xr:uid="{00000000-0005-0000-0000-000036010000}"/>
    <cellStyle name="_KT (2)_2_TG-TH_Book1_1_Bieu3ODA" xfId="286" xr:uid="{00000000-0005-0000-0000-000037010000}"/>
    <cellStyle name="_KT (2)_2_TG-TH_Book1_1_Bieu3ODA 2" xfId="4292" xr:uid="{00000000-0005-0000-0000-000038010000}"/>
    <cellStyle name="_KT (2)_2_TG-TH_Book1_1_Bieu4HTMT" xfId="287" xr:uid="{00000000-0005-0000-0000-000039010000}"/>
    <cellStyle name="_KT (2)_2_TG-TH_Book1_1_Bieu4HTMT 2" xfId="4293" xr:uid="{00000000-0005-0000-0000-00003A010000}"/>
    <cellStyle name="_KT (2)_2_TG-TH_Book1_1_Book1" xfId="288" xr:uid="{00000000-0005-0000-0000-00003B010000}"/>
    <cellStyle name="_KT (2)_2_TG-TH_Book1_1_Luy ke von ung nam 2011 -Thoa gui ngay 12-8-2012" xfId="289" xr:uid="{00000000-0005-0000-0000-00003C010000}"/>
    <cellStyle name="_KT (2)_2_TG-TH_Book1_1_Luy ke von ung nam 2011 -Thoa gui ngay 12-8-2012 2" xfId="4294" xr:uid="{00000000-0005-0000-0000-00003D010000}"/>
    <cellStyle name="_KT (2)_2_TG-TH_Book1_2" xfId="290" xr:uid="{00000000-0005-0000-0000-00003E010000}"/>
    <cellStyle name="_KT (2)_2_TG-TH_Book1_2 2" xfId="291" xr:uid="{00000000-0005-0000-0000-00003F010000}"/>
    <cellStyle name="_KT (2)_2_TG-TH_Book1_2_BC CV 6403 BKHĐT" xfId="292" xr:uid="{00000000-0005-0000-0000-000040010000}"/>
    <cellStyle name="_KT (2)_2_TG-TH_Book1_2_Bieu3ODA" xfId="293" xr:uid="{00000000-0005-0000-0000-000041010000}"/>
    <cellStyle name="_KT (2)_2_TG-TH_Book1_2_Luy ke von ung nam 2011 -Thoa gui ngay 12-8-2012" xfId="294" xr:uid="{00000000-0005-0000-0000-000042010000}"/>
    <cellStyle name="_KT (2)_2_TG-TH_Book1_3" xfId="295" xr:uid="{00000000-0005-0000-0000-000043010000}"/>
    <cellStyle name="_KT (2)_2_TG-TH_Book1_3 2" xfId="296" xr:uid="{00000000-0005-0000-0000-000044010000}"/>
    <cellStyle name="_KT (2)_2_TG-TH_Book1_BC CV 6403 BKHĐT" xfId="297" xr:uid="{00000000-0005-0000-0000-000045010000}"/>
    <cellStyle name="_KT (2)_2_TG-TH_Book1_Bieu mau cong trinh khoi cong moi 3-4" xfId="298" xr:uid="{00000000-0005-0000-0000-000046010000}"/>
    <cellStyle name="_KT (2)_2_TG-TH_Book1_Bieu3ODA" xfId="299" xr:uid="{00000000-0005-0000-0000-000047010000}"/>
    <cellStyle name="_KT (2)_2_TG-TH_Book1_Bieu4HTMT" xfId="300" xr:uid="{00000000-0005-0000-0000-000048010000}"/>
    <cellStyle name="_KT (2)_2_TG-TH_Book1_bo sung von KCH nam 2010 va Du an tre kho khan" xfId="301" xr:uid="{00000000-0005-0000-0000-000049010000}"/>
    <cellStyle name="_KT (2)_2_TG-TH_Book1_Book1" xfId="302" xr:uid="{00000000-0005-0000-0000-00004A010000}"/>
    <cellStyle name="_KT (2)_2_TG-TH_Book1_danh muc chuan bi dau tu 2011 ngay 07-6-2011" xfId="303" xr:uid="{00000000-0005-0000-0000-00004B010000}"/>
    <cellStyle name="_KT (2)_2_TG-TH_Book1_Danh muc pbo nguon von XSKT, XDCB nam 2009 chuyen qua nam 2010" xfId="304" xr:uid="{00000000-0005-0000-0000-00004C010000}"/>
    <cellStyle name="_KT (2)_2_TG-TH_Book1_dieu chinh KH 2011 ngay 26-5-2011111" xfId="305" xr:uid="{00000000-0005-0000-0000-00004D010000}"/>
    <cellStyle name="_KT (2)_2_TG-TH_Book1_DS KCH PHAN BO VON NSDP NAM 2010" xfId="306" xr:uid="{00000000-0005-0000-0000-00004E010000}"/>
    <cellStyle name="_KT (2)_2_TG-TH_Book1_giao KH 2011 ngay 10-12-2010" xfId="307" xr:uid="{00000000-0005-0000-0000-00004F010000}"/>
    <cellStyle name="_KT (2)_2_TG-TH_Book1_Luy ke von ung nam 2011 -Thoa gui ngay 12-8-2012" xfId="308" xr:uid="{00000000-0005-0000-0000-000050010000}"/>
    <cellStyle name="_KT (2)_2_TG-TH_CAU Khanh Nam(Thi Cong)" xfId="309" xr:uid="{00000000-0005-0000-0000-000051010000}"/>
    <cellStyle name="_KT (2)_2_TG-TH_CAU Khanh Nam(Thi Cong) 2" xfId="4295" xr:uid="{00000000-0005-0000-0000-000052010000}"/>
    <cellStyle name="_KT (2)_2_TG-TH_ChiHuong_ApGia" xfId="312" xr:uid="{00000000-0005-0000-0000-000053010000}"/>
    <cellStyle name="_KT (2)_2_TG-TH_ChiHuong_ApGia 2" xfId="4296" xr:uid="{00000000-0005-0000-0000-000054010000}"/>
    <cellStyle name="_KT (2)_2_TG-TH_CoCauPhi (version 1)" xfId="310" xr:uid="{00000000-0005-0000-0000-000055010000}"/>
    <cellStyle name="_KT (2)_2_TG-TH_Copy of 05-12  KH trung han 2016-2020 - Liem Thinh edited (1)" xfId="311" xr:uid="{00000000-0005-0000-0000-000056010000}"/>
    <cellStyle name="_KT (2)_2_TG-TH_danh muc chuan bi dau tu 2011 ngay 07-6-2011" xfId="313" xr:uid="{00000000-0005-0000-0000-000057010000}"/>
    <cellStyle name="_KT (2)_2_TG-TH_Danh muc pbo nguon von XSKT, XDCB nam 2009 chuyen qua nam 2010" xfId="314" xr:uid="{00000000-0005-0000-0000-000058010000}"/>
    <cellStyle name="_KT (2)_2_TG-TH_Danh muc pbo nguon von XSKT, XDCB nam 2009 chuyen qua nam 2010 2" xfId="4297" xr:uid="{00000000-0005-0000-0000-000059010000}"/>
    <cellStyle name="_KT (2)_2_TG-TH_DAU NOI PL-CL TAI PHU LAMHC" xfId="315" xr:uid="{00000000-0005-0000-0000-00005A010000}"/>
    <cellStyle name="_KT (2)_2_TG-TH_dieu chinh KH 2011 ngay 26-5-2011111" xfId="316" xr:uid="{00000000-0005-0000-0000-00005B010000}"/>
    <cellStyle name="_KT (2)_2_TG-TH_DS KCH PHAN BO VON NSDP NAM 2010" xfId="317" xr:uid="{00000000-0005-0000-0000-00005C010000}"/>
    <cellStyle name="_KT (2)_2_TG-TH_DS KCH PHAN BO VON NSDP NAM 2010 2" xfId="4298" xr:uid="{00000000-0005-0000-0000-00005D010000}"/>
    <cellStyle name="_KT (2)_2_TG-TH_DTCDT MR.2N110.HOCMON.TDTOAN.CCUNG" xfId="318" xr:uid="{00000000-0005-0000-0000-00005E010000}"/>
    <cellStyle name="_KT (2)_2_TG-TH_DU TRU VAT TU" xfId="319" xr:uid="{00000000-0005-0000-0000-00005F010000}"/>
    <cellStyle name="_KT (2)_2_TG-TH_DU TRU VAT TU 2" xfId="4299" xr:uid="{00000000-0005-0000-0000-000060010000}"/>
    <cellStyle name="_KT (2)_2_TG-TH_giao KH 2011 ngay 10-12-2010" xfId="321" xr:uid="{00000000-0005-0000-0000-000061010000}"/>
    <cellStyle name="_KT (2)_2_TG-TH_GTGT 2003" xfId="320" xr:uid="{00000000-0005-0000-0000-000062010000}"/>
    <cellStyle name="_KT (2)_2_TG-TH_KE KHAI THUE GTGT 2004" xfId="322" xr:uid="{00000000-0005-0000-0000-000063010000}"/>
    <cellStyle name="_KT (2)_2_TG-TH_KE KHAI THUE GTGT 2004 2" xfId="4300" xr:uid="{00000000-0005-0000-0000-000064010000}"/>
    <cellStyle name="_KT (2)_2_TG-TH_KE KHAI THUE GTGT 2004_BCTC2004" xfId="323" xr:uid="{00000000-0005-0000-0000-000065010000}"/>
    <cellStyle name="_KT (2)_2_TG-TH_KH TPCP 2016-2020 (tong hop)" xfId="325" xr:uid="{00000000-0005-0000-0000-000066010000}"/>
    <cellStyle name="_KT (2)_2_TG-TH_KH TPCP vung TNB (03-1-2012)" xfId="326" xr:uid="{00000000-0005-0000-0000-000067010000}"/>
    <cellStyle name="_KT (2)_2_TG-TH_kien giang 2" xfId="324" xr:uid="{00000000-0005-0000-0000-000068010000}"/>
    <cellStyle name="_KT (2)_2_TG-TH_Lora-tungchau" xfId="327" xr:uid="{00000000-0005-0000-0000-000069010000}"/>
    <cellStyle name="_KT (2)_2_TG-TH_Luy ke von ung nam 2011 -Thoa gui ngay 12-8-2012" xfId="328" xr:uid="{00000000-0005-0000-0000-00006A010000}"/>
    <cellStyle name="_KT (2)_2_TG-TH_Luy ke von ung nam 2011 -Thoa gui ngay 12-8-2012 2" xfId="4301" xr:uid="{00000000-0005-0000-0000-00006B010000}"/>
    <cellStyle name="_KT (2)_2_TG-TH_NhanCong" xfId="330" xr:uid="{00000000-0005-0000-0000-00006C010000}"/>
    <cellStyle name="_KT (2)_2_TG-TH_N-X-T-04" xfId="329" xr:uid="{00000000-0005-0000-0000-00006D010000}"/>
    <cellStyle name="_KT (2)_2_TG-TH_PGIA-phieu tham tra Kho bac" xfId="331" xr:uid="{00000000-0005-0000-0000-00006E010000}"/>
    <cellStyle name="_KT (2)_2_TG-TH_phu luc tong ket tinh hinh TH giai doan 03-10 (ngay 30)" xfId="336" xr:uid="{00000000-0005-0000-0000-00006F010000}"/>
    <cellStyle name="_KT (2)_2_TG-TH_phu luc tong ket tinh hinh TH giai doan 03-10 (ngay 30) 2" xfId="4302" xr:uid="{00000000-0005-0000-0000-000070010000}"/>
    <cellStyle name="_KT (2)_2_TG-TH_PT02-02" xfId="332" xr:uid="{00000000-0005-0000-0000-000071010000}"/>
    <cellStyle name="_KT (2)_2_TG-TH_PT02-02_Book1" xfId="333" xr:uid="{00000000-0005-0000-0000-000072010000}"/>
    <cellStyle name="_KT (2)_2_TG-TH_PT02-03" xfId="334" xr:uid="{00000000-0005-0000-0000-000073010000}"/>
    <cellStyle name="_KT (2)_2_TG-TH_PT02-03_Book1" xfId="335" xr:uid="{00000000-0005-0000-0000-000074010000}"/>
    <cellStyle name="_KT (2)_2_TG-TH_Qt-HT3PQ1(CauKho)" xfId="337" xr:uid="{00000000-0005-0000-0000-000075010000}"/>
    <cellStyle name="_KT (2)_2_TG-TH_Sheet1" xfId="338" xr:uid="{00000000-0005-0000-0000-000076010000}"/>
    <cellStyle name="_KT (2)_2_TG-TH_TK152-04" xfId="339" xr:uid="{00000000-0005-0000-0000-000077010000}"/>
    <cellStyle name="_KT (2)_2_TG-TH_ÿÿÿÿÿ" xfId="340" xr:uid="{00000000-0005-0000-0000-000078010000}"/>
    <cellStyle name="_KT (2)_2_TG-TH_ÿÿÿÿÿ 2" xfId="4303" xr:uid="{00000000-0005-0000-0000-000079010000}"/>
    <cellStyle name="_KT (2)_2_TG-TH_ÿÿÿÿÿ_Bieu mau cong trinh khoi cong moi 3-4" xfId="341" xr:uid="{00000000-0005-0000-0000-00007A010000}"/>
    <cellStyle name="_KT (2)_2_TG-TH_ÿÿÿÿÿ_Bieu mau cong trinh khoi cong moi 3-4 2" xfId="4304" xr:uid="{00000000-0005-0000-0000-00007B010000}"/>
    <cellStyle name="_KT (2)_2_TG-TH_ÿÿÿÿÿ_Bieu3ODA" xfId="342" xr:uid="{00000000-0005-0000-0000-00007C010000}"/>
    <cellStyle name="_KT (2)_2_TG-TH_ÿÿÿÿÿ_Bieu3ODA 2" xfId="4305" xr:uid="{00000000-0005-0000-0000-00007D010000}"/>
    <cellStyle name="_KT (2)_2_TG-TH_ÿÿÿÿÿ_Bieu4HTMT" xfId="343" xr:uid="{00000000-0005-0000-0000-00007E010000}"/>
    <cellStyle name="_KT (2)_2_TG-TH_ÿÿÿÿÿ_Bieu4HTMT 2" xfId="4306" xr:uid="{00000000-0005-0000-0000-00007F010000}"/>
    <cellStyle name="_KT (2)_2_TG-TH_ÿÿÿÿÿ_KH TPCP vung TNB (03-1-2012)" xfId="345" xr:uid="{00000000-0005-0000-0000-000080010000}"/>
    <cellStyle name="_KT (2)_2_TG-TH_ÿÿÿÿÿ_kien giang 2" xfId="344" xr:uid="{00000000-0005-0000-0000-000081010000}"/>
    <cellStyle name="_KT (2)_3" xfId="346" xr:uid="{00000000-0005-0000-0000-000082010000}"/>
    <cellStyle name="_KT (2)_3_TG-TH" xfId="347" xr:uid="{00000000-0005-0000-0000-000083010000}"/>
    <cellStyle name="_KT (2)_3_TG-TH 2" xfId="348" xr:uid="{00000000-0005-0000-0000-000084010000}"/>
    <cellStyle name="_KT (2)_3_TG-TH_05-12  KH trung han 2016-2020 - Liem Thinh edited" xfId="349" xr:uid="{00000000-0005-0000-0000-000085010000}"/>
    <cellStyle name="_KT (2)_3_TG-TH_BC  NAM 2007" xfId="350" xr:uid="{00000000-0005-0000-0000-000086010000}"/>
    <cellStyle name="_KT (2)_3_TG-TH_Bieu mau cong trinh khoi cong moi 3-4" xfId="351" xr:uid="{00000000-0005-0000-0000-000087010000}"/>
    <cellStyle name="_KT (2)_3_TG-TH_Bieu3ODA" xfId="352" xr:uid="{00000000-0005-0000-0000-000088010000}"/>
    <cellStyle name="_KT (2)_3_TG-TH_Bieu3ODA_1" xfId="353" xr:uid="{00000000-0005-0000-0000-000089010000}"/>
    <cellStyle name="_KT (2)_3_TG-TH_Bieu4HTMT" xfId="354" xr:uid="{00000000-0005-0000-0000-00008A010000}"/>
    <cellStyle name="_KT (2)_3_TG-TH_bo sung von KCH nam 2010 va Du an tre kho khan" xfId="355" xr:uid="{00000000-0005-0000-0000-00008B010000}"/>
    <cellStyle name="_KT (2)_3_TG-TH_Book1" xfId="356" xr:uid="{00000000-0005-0000-0000-00008C010000}"/>
    <cellStyle name="_KT (2)_3_TG-TH_Book1 2" xfId="357" xr:uid="{00000000-0005-0000-0000-00008D010000}"/>
    <cellStyle name="_KT (2)_3_TG-TH_Book1_BC-QT-WB-dthao" xfId="358" xr:uid="{00000000-0005-0000-0000-00008E010000}"/>
    <cellStyle name="_KT (2)_3_TG-TH_Book1_BC-QT-WB-dthao_05-12  KH trung han 2016-2020 - Liem Thinh edited" xfId="359" xr:uid="{00000000-0005-0000-0000-00008F010000}"/>
    <cellStyle name="_KT (2)_3_TG-TH_Book1_BC-QT-WB-dthao_Copy of 05-12  KH trung han 2016-2020 - Liem Thinh edited (1)" xfId="360" xr:uid="{00000000-0005-0000-0000-000090010000}"/>
    <cellStyle name="_KT (2)_3_TG-TH_Book1_BC-QT-WB-dthao_KH TPCP 2016-2020 (tong hop)" xfId="361" xr:uid="{00000000-0005-0000-0000-000091010000}"/>
    <cellStyle name="_KT (2)_3_TG-TH_Book1_KH TPCP vung TNB (03-1-2012)" xfId="363" xr:uid="{00000000-0005-0000-0000-000092010000}"/>
    <cellStyle name="_KT (2)_3_TG-TH_Book1_kien giang 2" xfId="362" xr:uid="{00000000-0005-0000-0000-000093010000}"/>
    <cellStyle name="_KT (2)_3_TG-TH_Copy of 05-12  KH trung han 2016-2020 - Liem Thinh edited (1)" xfId="364" xr:uid="{00000000-0005-0000-0000-000094010000}"/>
    <cellStyle name="_KT (2)_3_TG-TH_danh muc chuan bi dau tu 2011 ngay 07-6-2011" xfId="365" xr:uid="{00000000-0005-0000-0000-000095010000}"/>
    <cellStyle name="_KT (2)_3_TG-TH_Danh muc pbo nguon von XSKT, XDCB nam 2009 chuyen qua nam 2010" xfId="366" xr:uid="{00000000-0005-0000-0000-000096010000}"/>
    <cellStyle name="_KT (2)_3_TG-TH_dieu chinh KH 2011 ngay 26-5-2011111" xfId="367" xr:uid="{00000000-0005-0000-0000-000097010000}"/>
    <cellStyle name="_KT (2)_3_TG-TH_DS KCH PHAN BO VON NSDP NAM 2010" xfId="368" xr:uid="{00000000-0005-0000-0000-000098010000}"/>
    <cellStyle name="_KT (2)_3_TG-TH_giao KH 2011 ngay 10-12-2010" xfId="370" xr:uid="{00000000-0005-0000-0000-000099010000}"/>
    <cellStyle name="_KT (2)_3_TG-TH_GTGT 2003" xfId="369" xr:uid="{00000000-0005-0000-0000-00009A010000}"/>
    <cellStyle name="_KT (2)_3_TG-TH_KE KHAI THUE GTGT 2004" xfId="371" xr:uid="{00000000-0005-0000-0000-00009B010000}"/>
    <cellStyle name="_KT (2)_3_TG-TH_KE KHAI THUE GTGT 2004_BCTC2004" xfId="372" xr:uid="{00000000-0005-0000-0000-00009C010000}"/>
    <cellStyle name="_KT (2)_3_TG-TH_KH TPCP 2016-2020 (tong hop)" xfId="374" xr:uid="{00000000-0005-0000-0000-00009D010000}"/>
    <cellStyle name="_KT (2)_3_TG-TH_KH TPCP vung TNB (03-1-2012)" xfId="375" xr:uid="{00000000-0005-0000-0000-00009E010000}"/>
    <cellStyle name="_KT (2)_3_TG-TH_kien giang 2" xfId="373" xr:uid="{00000000-0005-0000-0000-00009F010000}"/>
    <cellStyle name="_KT (2)_3_TG-TH_Lora-tungchau" xfId="376" xr:uid="{00000000-0005-0000-0000-0000A0010000}"/>
    <cellStyle name="_KT (2)_3_TG-TH_Lora-tungchau 2" xfId="377" xr:uid="{00000000-0005-0000-0000-0000A1010000}"/>
    <cellStyle name="_KT (2)_3_TG-TH_Lora-tungchau_05-12  KH trung han 2016-2020 - Liem Thinh edited" xfId="378" xr:uid="{00000000-0005-0000-0000-0000A2010000}"/>
    <cellStyle name="_KT (2)_3_TG-TH_Lora-tungchau_Copy of 05-12  KH trung han 2016-2020 - Liem Thinh edited (1)" xfId="379" xr:uid="{00000000-0005-0000-0000-0000A3010000}"/>
    <cellStyle name="_KT (2)_3_TG-TH_Lora-tungchau_KH TPCP 2016-2020 (tong hop)" xfId="380" xr:uid="{00000000-0005-0000-0000-0000A4010000}"/>
    <cellStyle name="_KT (2)_3_TG-TH_N-X-T-04" xfId="381" xr:uid="{00000000-0005-0000-0000-0000A5010000}"/>
    <cellStyle name="_KT (2)_3_TG-TH_PERSONAL" xfId="382" xr:uid="{00000000-0005-0000-0000-0000A6010000}"/>
    <cellStyle name="_KT (2)_3_TG-TH_PERSONAL_BC CV 6403 BKHĐT" xfId="383" xr:uid="{00000000-0005-0000-0000-0000A7010000}"/>
    <cellStyle name="_KT (2)_3_TG-TH_PERSONAL_Bieu mau cong trinh khoi cong moi 3-4" xfId="384" xr:uid="{00000000-0005-0000-0000-0000A8010000}"/>
    <cellStyle name="_KT (2)_3_TG-TH_PERSONAL_Bieu3ODA" xfId="385" xr:uid="{00000000-0005-0000-0000-0000A9010000}"/>
    <cellStyle name="_KT (2)_3_TG-TH_PERSONAL_Bieu4HTMT" xfId="386" xr:uid="{00000000-0005-0000-0000-0000AA010000}"/>
    <cellStyle name="_KT (2)_3_TG-TH_PERSONAL_Book1" xfId="387" xr:uid="{00000000-0005-0000-0000-0000AB010000}"/>
    <cellStyle name="_KT (2)_3_TG-TH_PERSONAL_Book1 2" xfId="388" xr:uid="{00000000-0005-0000-0000-0000AC010000}"/>
    <cellStyle name="_KT (2)_3_TG-TH_PERSONAL_HTQ.8 GD1" xfId="389" xr:uid="{00000000-0005-0000-0000-0000AD010000}"/>
    <cellStyle name="_KT (2)_3_TG-TH_PERSONAL_HTQ.8 GD1_05-12  KH trung han 2016-2020 - Liem Thinh edited" xfId="390" xr:uid="{00000000-0005-0000-0000-0000AE010000}"/>
    <cellStyle name="_KT (2)_3_TG-TH_PERSONAL_HTQ.8 GD1_Copy of 05-12  KH trung han 2016-2020 - Liem Thinh edited (1)" xfId="391" xr:uid="{00000000-0005-0000-0000-0000AF010000}"/>
    <cellStyle name="_KT (2)_3_TG-TH_PERSONAL_HTQ.8 GD1_KH TPCP 2016-2020 (tong hop)" xfId="392" xr:uid="{00000000-0005-0000-0000-0000B0010000}"/>
    <cellStyle name="_KT (2)_3_TG-TH_PERSONAL_Luy ke von ung nam 2011 -Thoa gui ngay 12-8-2012" xfId="393" xr:uid="{00000000-0005-0000-0000-0000B1010000}"/>
    <cellStyle name="_KT (2)_3_TG-TH_PERSONAL_Tong hop KHCB 2001" xfId="394" xr:uid="{00000000-0005-0000-0000-0000B2010000}"/>
    <cellStyle name="_KT (2)_3_TG-TH_Qt-HT3PQ1(CauKho)" xfId="395" xr:uid="{00000000-0005-0000-0000-0000B3010000}"/>
    <cellStyle name="_KT (2)_3_TG-TH_TK152-04" xfId="396" xr:uid="{00000000-0005-0000-0000-0000B4010000}"/>
    <cellStyle name="_KT (2)_3_TG-TH_ÿÿÿÿÿ" xfId="397" xr:uid="{00000000-0005-0000-0000-0000B5010000}"/>
    <cellStyle name="_KT (2)_3_TG-TH_ÿÿÿÿÿ_KH TPCP vung TNB (03-1-2012)" xfId="399" xr:uid="{00000000-0005-0000-0000-0000B6010000}"/>
    <cellStyle name="_KT (2)_3_TG-TH_ÿÿÿÿÿ_kien giang 2" xfId="398" xr:uid="{00000000-0005-0000-0000-0000B7010000}"/>
    <cellStyle name="_KT (2)_4" xfId="400" xr:uid="{00000000-0005-0000-0000-0000B8010000}"/>
    <cellStyle name="_KT (2)_4 2" xfId="401" xr:uid="{00000000-0005-0000-0000-0000B9010000}"/>
    <cellStyle name="_KT (2)_4_05-12  KH trung han 2016-2020 - Liem Thinh edited" xfId="402" xr:uid="{00000000-0005-0000-0000-0000BA010000}"/>
    <cellStyle name="_KT (2)_4_ApGiaVatTu_cayxanh_latgach" xfId="403" xr:uid="{00000000-0005-0000-0000-0000BB010000}"/>
    <cellStyle name="_KT (2)_4_BANG TONG HOP TINH HINH THANH QUYET TOAN (MOI I)" xfId="404" xr:uid="{00000000-0005-0000-0000-0000BC010000}"/>
    <cellStyle name="_KT (2)_4_BANG TONG HOP TINH HINH THANH QUYET TOAN (MOI I) 2" xfId="4307" xr:uid="{00000000-0005-0000-0000-0000BD010000}"/>
    <cellStyle name="_KT (2)_4_BAO CAO KLCT PT2000" xfId="405" xr:uid="{00000000-0005-0000-0000-0000BE010000}"/>
    <cellStyle name="_KT (2)_4_BAO CAO PT2000" xfId="406" xr:uid="{00000000-0005-0000-0000-0000BF010000}"/>
    <cellStyle name="_KT (2)_4_BAO CAO PT2000_Book1" xfId="407" xr:uid="{00000000-0005-0000-0000-0000C0010000}"/>
    <cellStyle name="_KT (2)_4_Bao cao XDCB 2001 - T11 KH dieu chinh 20-11-THAI" xfId="408" xr:uid="{00000000-0005-0000-0000-0000C1010000}"/>
    <cellStyle name="_KT (2)_4_BAO GIA NGAY 24-10-08 (co dam)" xfId="409" xr:uid="{00000000-0005-0000-0000-0000C2010000}"/>
    <cellStyle name="_KT (2)_4_BAO GIA NGAY 24-10-08 (co dam) 2" xfId="4308" xr:uid="{00000000-0005-0000-0000-0000C3010000}"/>
    <cellStyle name="_KT (2)_4_BC  NAM 2007" xfId="410" xr:uid="{00000000-0005-0000-0000-0000C4010000}"/>
    <cellStyle name="_KT (2)_4_BC CV 6403 BKHĐT" xfId="411" xr:uid="{00000000-0005-0000-0000-0000C5010000}"/>
    <cellStyle name="_KT (2)_4_BC CV 6403 BKHĐT 2" xfId="4309" xr:uid="{00000000-0005-0000-0000-0000C6010000}"/>
    <cellStyle name="_KT (2)_4_BC NQ11-CP - chinh sua lai" xfId="412" xr:uid="{00000000-0005-0000-0000-0000C7010000}"/>
    <cellStyle name="_KT (2)_4_BC NQ11-CP-Quynh sau bieu so3" xfId="413" xr:uid="{00000000-0005-0000-0000-0000C8010000}"/>
    <cellStyle name="_KT (2)_4_BC_NQ11-CP_-_Thao_sua_lai" xfId="414" xr:uid="{00000000-0005-0000-0000-0000C9010000}"/>
    <cellStyle name="_KT (2)_4_Bieu mau cong trinh khoi cong moi 3-4" xfId="415" xr:uid="{00000000-0005-0000-0000-0000CA010000}"/>
    <cellStyle name="_KT (2)_4_Bieu mau cong trinh khoi cong moi 3-4 2" xfId="4310" xr:uid="{00000000-0005-0000-0000-0000CB010000}"/>
    <cellStyle name="_KT (2)_4_Bieu3ODA" xfId="416" xr:uid="{00000000-0005-0000-0000-0000CC010000}"/>
    <cellStyle name="_KT (2)_4_Bieu3ODA_1" xfId="417" xr:uid="{00000000-0005-0000-0000-0000CD010000}"/>
    <cellStyle name="_KT (2)_4_Bieu4HTMT" xfId="418" xr:uid="{00000000-0005-0000-0000-0000CE010000}"/>
    <cellStyle name="_KT (2)_4_Bieu4HTMT 2" xfId="4311" xr:uid="{00000000-0005-0000-0000-0000CF010000}"/>
    <cellStyle name="_KT (2)_4_bo sung von KCH nam 2010 va Du an tre kho khan" xfId="419" xr:uid="{00000000-0005-0000-0000-0000D0010000}"/>
    <cellStyle name="_KT (2)_4_bo sung von KCH nam 2010 va Du an tre kho khan 2" xfId="4312" xr:uid="{00000000-0005-0000-0000-0000D1010000}"/>
    <cellStyle name="_KT (2)_4_Book1" xfId="420" xr:uid="{00000000-0005-0000-0000-0000D2010000}"/>
    <cellStyle name="_KT (2)_4_Book1 2" xfId="421" xr:uid="{00000000-0005-0000-0000-0000D3010000}"/>
    <cellStyle name="_KT (2)_4_Book1_1" xfId="422" xr:uid="{00000000-0005-0000-0000-0000D4010000}"/>
    <cellStyle name="_KT (2)_4_Book1_1 2" xfId="423" xr:uid="{00000000-0005-0000-0000-0000D5010000}"/>
    <cellStyle name="_KT (2)_4_Book1_1 3" xfId="4313" xr:uid="{00000000-0005-0000-0000-0000D6010000}"/>
    <cellStyle name="_KT (2)_4_Book1_1_BC CV 6403 BKHĐT" xfId="424" xr:uid="{00000000-0005-0000-0000-0000D7010000}"/>
    <cellStyle name="_KT (2)_4_Book1_1_BC CV 6403 BKHĐT 2" xfId="4314" xr:uid="{00000000-0005-0000-0000-0000D8010000}"/>
    <cellStyle name="_KT (2)_4_Book1_1_Bieu mau cong trinh khoi cong moi 3-4" xfId="425" xr:uid="{00000000-0005-0000-0000-0000D9010000}"/>
    <cellStyle name="_KT (2)_4_Book1_1_Bieu mau cong trinh khoi cong moi 3-4 2" xfId="4315" xr:uid="{00000000-0005-0000-0000-0000DA010000}"/>
    <cellStyle name="_KT (2)_4_Book1_1_Bieu3ODA" xfId="426" xr:uid="{00000000-0005-0000-0000-0000DB010000}"/>
    <cellStyle name="_KT (2)_4_Book1_1_Bieu3ODA 2" xfId="4316" xr:uid="{00000000-0005-0000-0000-0000DC010000}"/>
    <cellStyle name="_KT (2)_4_Book1_1_Bieu4HTMT" xfId="427" xr:uid="{00000000-0005-0000-0000-0000DD010000}"/>
    <cellStyle name="_KT (2)_4_Book1_1_Bieu4HTMT 2" xfId="4317" xr:uid="{00000000-0005-0000-0000-0000DE010000}"/>
    <cellStyle name="_KT (2)_4_Book1_1_Book1" xfId="428" xr:uid="{00000000-0005-0000-0000-0000DF010000}"/>
    <cellStyle name="_KT (2)_4_Book1_1_Luy ke von ung nam 2011 -Thoa gui ngay 12-8-2012" xfId="429" xr:uid="{00000000-0005-0000-0000-0000E0010000}"/>
    <cellStyle name="_KT (2)_4_Book1_1_Luy ke von ung nam 2011 -Thoa gui ngay 12-8-2012 2" xfId="4318" xr:uid="{00000000-0005-0000-0000-0000E1010000}"/>
    <cellStyle name="_KT (2)_4_Book1_2" xfId="430" xr:uid="{00000000-0005-0000-0000-0000E2010000}"/>
    <cellStyle name="_KT (2)_4_Book1_2 2" xfId="431" xr:uid="{00000000-0005-0000-0000-0000E3010000}"/>
    <cellStyle name="_KT (2)_4_Book1_2_BC CV 6403 BKHĐT" xfId="432" xr:uid="{00000000-0005-0000-0000-0000E4010000}"/>
    <cellStyle name="_KT (2)_4_Book1_2_Bieu3ODA" xfId="433" xr:uid="{00000000-0005-0000-0000-0000E5010000}"/>
    <cellStyle name="_KT (2)_4_Book1_2_Luy ke von ung nam 2011 -Thoa gui ngay 12-8-2012" xfId="434" xr:uid="{00000000-0005-0000-0000-0000E6010000}"/>
    <cellStyle name="_KT (2)_4_Book1_3" xfId="435" xr:uid="{00000000-0005-0000-0000-0000E7010000}"/>
    <cellStyle name="_KT (2)_4_Book1_3 2" xfId="436" xr:uid="{00000000-0005-0000-0000-0000E8010000}"/>
    <cellStyle name="_KT (2)_4_Book1_BC CV 6403 BKHĐT" xfId="437" xr:uid="{00000000-0005-0000-0000-0000E9010000}"/>
    <cellStyle name="_KT (2)_4_Book1_Bieu mau cong trinh khoi cong moi 3-4" xfId="438" xr:uid="{00000000-0005-0000-0000-0000EA010000}"/>
    <cellStyle name="_KT (2)_4_Book1_Bieu3ODA" xfId="439" xr:uid="{00000000-0005-0000-0000-0000EB010000}"/>
    <cellStyle name="_KT (2)_4_Book1_Bieu4HTMT" xfId="440" xr:uid="{00000000-0005-0000-0000-0000EC010000}"/>
    <cellStyle name="_KT (2)_4_Book1_bo sung von KCH nam 2010 va Du an tre kho khan" xfId="441" xr:uid="{00000000-0005-0000-0000-0000ED010000}"/>
    <cellStyle name="_KT (2)_4_Book1_Book1" xfId="442" xr:uid="{00000000-0005-0000-0000-0000EE010000}"/>
    <cellStyle name="_KT (2)_4_Book1_danh muc chuan bi dau tu 2011 ngay 07-6-2011" xfId="443" xr:uid="{00000000-0005-0000-0000-0000EF010000}"/>
    <cellStyle name="_KT (2)_4_Book1_Danh muc pbo nguon von XSKT, XDCB nam 2009 chuyen qua nam 2010" xfId="444" xr:uid="{00000000-0005-0000-0000-0000F0010000}"/>
    <cellStyle name="_KT (2)_4_Book1_dieu chinh KH 2011 ngay 26-5-2011111" xfId="445" xr:uid="{00000000-0005-0000-0000-0000F1010000}"/>
    <cellStyle name="_KT (2)_4_Book1_DS KCH PHAN BO VON NSDP NAM 2010" xfId="446" xr:uid="{00000000-0005-0000-0000-0000F2010000}"/>
    <cellStyle name="_KT (2)_4_Book1_giao KH 2011 ngay 10-12-2010" xfId="447" xr:uid="{00000000-0005-0000-0000-0000F3010000}"/>
    <cellStyle name="_KT (2)_4_Book1_Luy ke von ung nam 2011 -Thoa gui ngay 12-8-2012" xfId="448" xr:uid="{00000000-0005-0000-0000-0000F4010000}"/>
    <cellStyle name="_KT (2)_4_CAU Khanh Nam(Thi Cong)" xfId="449" xr:uid="{00000000-0005-0000-0000-0000F5010000}"/>
    <cellStyle name="_KT (2)_4_CAU Khanh Nam(Thi Cong) 2" xfId="4319" xr:uid="{00000000-0005-0000-0000-0000F6010000}"/>
    <cellStyle name="_KT (2)_4_ChiHuong_ApGia" xfId="452" xr:uid="{00000000-0005-0000-0000-0000F7010000}"/>
    <cellStyle name="_KT (2)_4_ChiHuong_ApGia 2" xfId="4320" xr:uid="{00000000-0005-0000-0000-0000F8010000}"/>
    <cellStyle name="_KT (2)_4_CoCauPhi (version 1)" xfId="450" xr:uid="{00000000-0005-0000-0000-0000F9010000}"/>
    <cellStyle name="_KT (2)_4_Copy of 05-12  KH trung han 2016-2020 - Liem Thinh edited (1)" xfId="451" xr:uid="{00000000-0005-0000-0000-0000FA010000}"/>
    <cellStyle name="_KT (2)_4_danh muc chuan bi dau tu 2011 ngay 07-6-2011" xfId="453" xr:uid="{00000000-0005-0000-0000-0000FB010000}"/>
    <cellStyle name="_KT (2)_4_Danh muc pbo nguon von XSKT, XDCB nam 2009 chuyen qua nam 2010" xfId="454" xr:uid="{00000000-0005-0000-0000-0000FC010000}"/>
    <cellStyle name="_KT (2)_4_Danh muc pbo nguon von XSKT, XDCB nam 2009 chuyen qua nam 2010 2" xfId="4321" xr:uid="{00000000-0005-0000-0000-0000FD010000}"/>
    <cellStyle name="_KT (2)_4_DAU NOI PL-CL TAI PHU LAMHC" xfId="455" xr:uid="{00000000-0005-0000-0000-0000FE010000}"/>
    <cellStyle name="_KT (2)_4_dieu chinh KH 2011 ngay 26-5-2011111" xfId="456" xr:uid="{00000000-0005-0000-0000-0000FF010000}"/>
    <cellStyle name="_KT (2)_4_DS KCH PHAN BO VON NSDP NAM 2010" xfId="457" xr:uid="{00000000-0005-0000-0000-000000020000}"/>
    <cellStyle name="_KT (2)_4_DS KCH PHAN BO VON NSDP NAM 2010 2" xfId="4322" xr:uid="{00000000-0005-0000-0000-000001020000}"/>
    <cellStyle name="_KT (2)_4_DTCDT MR.2N110.HOCMON.TDTOAN.CCUNG" xfId="458" xr:uid="{00000000-0005-0000-0000-000002020000}"/>
    <cellStyle name="_KT (2)_4_DU TRU VAT TU" xfId="459" xr:uid="{00000000-0005-0000-0000-000003020000}"/>
    <cellStyle name="_KT (2)_4_DU TRU VAT TU 2" xfId="4323" xr:uid="{00000000-0005-0000-0000-000004020000}"/>
    <cellStyle name="_KT (2)_4_giao KH 2011 ngay 10-12-2010" xfId="461" xr:uid="{00000000-0005-0000-0000-000005020000}"/>
    <cellStyle name="_KT (2)_4_GTGT 2003" xfId="460" xr:uid="{00000000-0005-0000-0000-000006020000}"/>
    <cellStyle name="_KT (2)_4_KE KHAI THUE GTGT 2004" xfId="462" xr:uid="{00000000-0005-0000-0000-000007020000}"/>
    <cellStyle name="_KT (2)_4_KE KHAI THUE GTGT 2004 2" xfId="4324" xr:uid="{00000000-0005-0000-0000-000008020000}"/>
    <cellStyle name="_KT (2)_4_KE KHAI THUE GTGT 2004_BCTC2004" xfId="463" xr:uid="{00000000-0005-0000-0000-000009020000}"/>
    <cellStyle name="_KT (2)_4_KH TPCP 2016-2020 (tong hop)" xfId="465" xr:uid="{00000000-0005-0000-0000-00000A020000}"/>
    <cellStyle name="_KT (2)_4_KH TPCP vung TNB (03-1-2012)" xfId="466" xr:uid="{00000000-0005-0000-0000-00000B020000}"/>
    <cellStyle name="_KT (2)_4_kien giang 2" xfId="464" xr:uid="{00000000-0005-0000-0000-00000C020000}"/>
    <cellStyle name="_KT (2)_4_Lora-tungchau" xfId="467" xr:uid="{00000000-0005-0000-0000-00000D020000}"/>
    <cellStyle name="_KT (2)_4_Luy ke von ung nam 2011 -Thoa gui ngay 12-8-2012" xfId="468" xr:uid="{00000000-0005-0000-0000-00000E020000}"/>
    <cellStyle name="_KT (2)_4_Luy ke von ung nam 2011 -Thoa gui ngay 12-8-2012 2" xfId="4325" xr:uid="{00000000-0005-0000-0000-00000F020000}"/>
    <cellStyle name="_KT (2)_4_NhanCong" xfId="470" xr:uid="{00000000-0005-0000-0000-000010020000}"/>
    <cellStyle name="_KT (2)_4_N-X-T-04" xfId="469" xr:uid="{00000000-0005-0000-0000-000011020000}"/>
    <cellStyle name="_KT (2)_4_PGIA-phieu tham tra Kho bac" xfId="471" xr:uid="{00000000-0005-0000-0000-000012020000}"/>
    <cellStyle name="_KT (2)_4_phu luc tong ket tinh hinh TH giai doan 03-10 (ngay 30)" xfId="476" xr:uid="{00000000-0005-0000-0000-000013020000}"/>
    <cellStyle name="_KT (2)_4_phu luc tong ket tinh hinh TH giai doan 03-10 (ngay 30) 2" xfId="4326" xr:uid="{00000000-0005-0000-0000-000014020000}"/>
    <cellStyle name="_KT (2)_4_PT02-02" xfId="472" xr:uid="{00000000-0005-0000-0000-000015020000}"/>
    <cellStyle name="_KT (2)_4_PT02-02_Book1" xfId="473" xr:uid="{00000000-0005-0000-0000-000016020000}"/>
    <cellStyle name="_KT (2)_4_PT02-03" xfId="474" xr:uid="{00000000-0005-0000-0000-000017020000}"/>
    <cellStyle name="_KT (2)_4_PT02-03_Book1" xfId="475" xr:uid="{00000000-0005-0000-0000-000018020000}"/>
    <cellStyle name="_KT (2)_4_Qt-HT3PQ1(CauKho)" xfId="477" xr:uid="{00000000-0005-0000-0000-000019020000}"/>
    <cellStyle name="_KT (2)_4_Sheet1" xfId="478" xr:uid="{00000000-0005-0000-0000-00001A020000}"/>
    <cellStyle name="_KT (2)_4_TG-TH" xfId="479" xr:uid="{00000000-0005-0000-0000-00001B020000}"/>
    <cellStyle name="_KT (2)_4_TK152-04" xfId="480" xr:uid="{00000000-0005-0000-0000-00001C020000}"/>
    <cellStyle name="_KT (2)_4_ÿÿÿÿÿ" xfId="481" xr:uid="{00000000-0005-0000-0000-00001D020000}"/>
    <cellStyle name="_KT (2)_4_ÿÿÿÿÿ 2" xfId="4327" xr:uid="{00000000-0005-0000-0000-00001E020000}"/>
    <cellStyle name="_KT (2)_4_ÿÿÿÿÿ_Bieu mau cong trinh khoi cong moi 3-4" xfId="482" xr:uid="{00000000-0005-0000-0000-00001F020000}"/>
    <cellStyle name="_KT (2)_4_ÿÿÿÿÿ_Bieu mau cong trinh khoi cong moi 3-4 2" xfId="4328" xr:uid="{00000000-0005-0000-0000-000020020000}"/>
    <cellStyle name="_KT (2)_4_ÿÿÿÿÿ_Bieu3ODA" xfId="483" xr:uid="{00000000-0005-0000-0000-000021020000}"/>
    <cellStyle name="_KT (2)_4_ÿÿÿÿÿ_Bieu3ODA 2" xfId="4329" xr:uid="{00000000-0005-0000-0000-000022020000}"/>
    <cellStyle name="_KT (2)_4_ÿÿÿÿÿ_Bieu4HTMT" xfId="484" xr:uid="{00000000-0005-0000-0000-000023020000}"/>
    <cellStyle name="_KT (2)_4_ÿÿÿÿÿ_Bieu4HTMT 2" xfId="4330" xr:uid="{00000000-0005-0000-0000-000024020000}"/>
    <cellStyle name="_KT (2)_4_ÿÿÿÿÿ_KH TPCP vung TNB (03-1-2012)" xfId="486" xr:uid="{00000000-0005-0000-0000-000025020000}"/>
    <cellStyle name="_KT (2)_4_ÿÿÿÿÿ_kien giang 2" xfId="485" xr:uid="{00000000-0005-0000-0000-000026020000}"/>
    <cellStyle name="_KT (2)_5" xfId="487" xr:uid="{00000000-0005-0000-0000-000027020000}"/>
    <cellStyle name="_KT (2)_5 2" xfId="488" xr:uid="{00000000-0005-0000-0000-000028020000}"/>
    <cellStyle name="_KT (2)_5_05-12  KH trung han 2016-2020 - Liem Thinh edited" xfId="489" xr:uid="{00000000-0005-0000-0000-000029020000}"/>
    <cellStyle name="_KT (2)_5_ApGiaVatTu_cayxanh_latgach" xfId="490" xr:uid="{00000000-0005-0000-0000-00002A020000}"/>
    <cellStyle name="_KT (2)_5_BANG TONG HOP TINH HINH THANH QUYET TOAN (MOI I)" xfId="491" xr:uid="{00000000-0005-0000-0000-00002B020000}"/>
    <cellStyle name="_KT (2)_5_BANG TONG HOP TINH HINH THANH QUYET TOAN (MOI I) 2" xfId="4331" xr:uid="{00000000-0005-0000-0000-00002C020000}"/>
    <cellStyle name="_KT (2)_5_BAO CAO KLCT PT2000" xfId="492" xr:uid="{00000000-0005-0000-0000-00002D020000}"/>
    <cellStyle name="_KT (2)_5_BAO CAO PT2000" xfId="493" xr:uid="{00000000-0005-0000-0000-00002E020000}"/>
    <cellStyle name="_KT (2)_5_BAO CAO PT2000_Book1" xfId="494" xr:uid="{00000000-0005-0000-0000-00002F020000}"/>
    <cellStyle name="_KT (2)_5_Bao cao XDCB 2001 - T11 KH dieu chinh 20-11-THAI" xfId="495" xr:uid="{00000000-0005-0000-0000-000030020000}"/>
    <cellStyle name="_KT (2)_5_BAO GIA NGAY 24-10-08 (co dam)" xfId="496" xr:uid="{00000000-0005-0000-0000-000031020000}"/>
    <cellStyle name="_KT (2)_5_BAO GIA NGAY 24-10-08 (co dam) 2" xfId="4332" xr:uid="{00000000-0005-0000-0000-000032020000}"/>
    <cellStyle name="_KT (2)_5_BC  NAM 2007" xfId="497" xr:uid="{00000000-0005-0000-0000-000033020000}"/>
    <cellStyle name="_KT (2)_5_BC CV 6403 BKHĐT" xfId="498" xr:uid="{00000000-0005-0000-0000-000034020000}"/>
    <cellStyle name="_KT (2)_5_BC CV 6403 BKHĐT 2" xfId="4333" xr:uid="{00000000-0005-0000-0000-000035020000}"/>
    <cellStyle name="_KT (2)_5_BC NQ11-CP - chinh sua lai" xfId="499" xr:uid="{00000000-0005-0000-0000-000036020000}"/>
    <cellStyle name="_KT (2)_5_BC NQ11-CP-Quynh sau bieu so3" xfId="500" xr:uid="{00000000-0005-0000-0000-000037020000}"/>
    <cellStyle name="_KT (2)_5_BC_NQ11-CP_-_Thao_sua_lai" xfId="501" xr:uid="{00000000-0005-0000-0000-000038020000}"/>
    <cellStyle name="_KT (2)_5_Bieu mau cong trinh khoi cong moi 3-4" xfId="502" xr:uid="{00000000-0005-0000-0000-000039020000}"/>
    <cellStyle name="_KT (2)_5_Bieu mau cong trinh khoi cong moi 3-4 2" xfId="4334" xr:uid="{00000000-0005-0000-0000-00003A020000}"/>
    <cellStyle name="_KT (2)_5_Bieu3ODA" xfId="503" xr:uid="{00000000-0005-0000-0000-00003B020000}"/>
    <cellStyle name="_KT (2)_5_Bieu3ODA_1" xfId="504" xr:uid="{00000000-0005-0000-0000-00003C020000}"/>
    <cellStyle name="_KT (2)_5_Bieu4HTMT" xfId="505" xr:uid="{00000000-0005-0000-0000-00003D020000}"/>
    <cellStyle name="_KT (2)_5_Bieu4HTMT 2" xfId="4335" xr:uid="{00000000-0005-0000-0000-00003E020000}"/>
    <cellStyle name="_KT (2)_5_bo sung von KCH nam 2010 va Du an tre kho khan" xfId="506" xr:uid="{00000000-0005-0000-0000-00003F020000}"/>
    <cellStyle name="_KT (2)_5_bo sung von KCH nam 2010 va Du an tre kho khan 2" xfId="4336" xr:uid="{00000000-0005-0000-0000-000040020000}"/>
    <cellStyle name="_KT (2)_5_Book1" xfId="507" xr:uid="{00000000-0005-0000-0000-000041020000}"/>
    <cellStyle name="_KT (2)_5_Book1 2" xfId="508" xr:uid="{00000000-0005-0000-0000-000042020000}"/>
    <cellStyle name="_KT (2)_5_Book1_1" xfId="509" xr:uid="{00000000-0005-0000-0000-000043020000}"/>
    <cellStyle name="_KT (2)_5_Book1_1 2" xfId="510" xr:uid="{00000000-0005-0000-0000-000044020000}"/>
    <cellStyle name="_KT (2)_5_Book1_1 3" xfId="4337" xr:uid="{00000000-0005-0000-0000-000045020000}"/>
    <cellStyle name="_KT (2)_5_Book1_1_BC CV 6403 BKHĐT" xfId="511" xr:uid="{00000000-0005-0000-0000-000046020000}"/>
    <cellStyle name="_KT (2)_5_Book1_1_BC CV 6403 BKHĐT 2" xfId="4338" xr:uid="{00000000-0005-0000-0000-000047020000}"/>
    <cellStyle name="_KT (2)_5_Book1_1_Bieu mau cong trinh khoi cong moi 3-4" xfId="512" xr:uid="{00000000-0005-0000-0000-000048020000}"/>
    <cellStyle name="_KT (2)_5_Book1_1_Bieu mau cong trinh khoi cong moi 3-4 2" xfId="4339" xr:uid="{00000000-0005-0000-0000-000049020000}"/>
    <cellStyle name="_KT (2)_5_Book1_1_Bieu3ODA" xfId="513" xr:uid="{00000000-0005-0000-0000-00004A020000}"/>
    <cellStyle name="_KT (2)_5_Book1_1_Bieu3ODA 2" xfId="4340" xr:uid="{00000000-0005-0000-0000-00004B020000}"/>
    <cellStyle name="_KT (2)_5_Book1_1_Bieu4HTMT" xfId="514" xr:uid="{00000000-0005-0000-0000-00004C020000}"/>
    <cellStyle name="_KT (2)_5_Book1_1_Bieu4HTMT 2" xfId="4341" xr:uid="{00000000-0005-0000-0000-00004D020000}"/>
    <cellStyle name="_KT (2)_5_Book1_1_Book1" xfId="515" xr:uid="{00000000-0005-0000-0000-00004E020000}"/>
    <cellStyle name="_KT (2)_5_Book1_1_Luy ke von ung nam 2011 -Thoa gui ngay 12-8-2012" xfId="516" xr:uid="{00000000-0005-0000-0000-00004F020000}"/>
    <cellStyle name="_KT (2)_5_Book1_1_Luy ke von ung nam 2011 -Thoa gui ngay 12-8-2012 2" xfId="4342" xr:uid="{00000000-0005-0000-0000-000050020000}"/>
    <cellStyle name="_KT (2)_5_Book1_2" xfId="517" xr:uid="{00000000-0005-0000-0000-000051020000}"/>
    <cellStyle name="_KT (2)_5_Book1_2 2" xfId="518" xr:uid="{00000000-0005-0000-0000-000052020000}"/>
    <cellStyle name="_KT (2)_5_Book1_2_BC CV 6403 BKHĐT" xfId="519" xr:uid="{00000000-0005-0000-0000-000053020000}"/>
    <cellStyle name="_KT (2)_5_Book1_2_Bieu3ODA" xfId="520" xr:uid="{00000000-0005-0000-0000-000054020000}"/>
    <cellStyle name="_KT (2)_5_Book1_2_Luy ke von ung nam 2011 -Thoa gui ngay 12-8-2012" xfId="521" xr:uid="{00000000-0005-0000-0000-000055020000}"/>
    <cellStyle name="_KT (2)_5_Book1_3" xfId="522" xr:uid="{00000000-0005-0000-0000-000056020000}"/>
    <cellStyle name="_KT (2)_5_Book1_BC CV 6403 BKHĐT" xfId="523" xr:uid="{00000000-0005-0000-0000-000057020000}"/>
    <cellStyle name="_KT (2)_5_Book1_BC-QT-WB-dthao" xfId="524" xr:uid="{00000000-0005-0000-0000-000058020000}"/>
    <cellStyle name="_KT (2)_5_Book1_Bieu mau cong trinh khoi cong moi 3-4" xfId="525" xr:uid="{00000000-0005-0000-0000-000059020000}"/>
    <cellStyle name="_KT (2)_5_Book1_Bieu3ODA" xfId="526" xr:uid="{00000000-0005-0000-0000-00005A020000}"/>
    <cellStyle name="_KT (2)_5_Book1_Bieu4HTMT" xfId="527" xr:uid="{00000000-0005-0000-0000-00005B020000}"/>
    <cellStyle name="_KT (2)_5_Book1_bo sung von KCH nam 2010 va Du an tre kho khan" xfId="528" xr:uid="{00000000-0005-0000-0000-00005C020000}"/>
    <cellStyle name="_KT (2)_5_Book1_Book1" xfId="529" xr:uid="{00000000-0005-0000-0000-00005D020000}"/>
    <cellStyle name="_KT (2)_5_Book1_danh muc chuan bi dau tu 2011 ngay 07-6-2011" xfId="530" xr:uid="{00000000-0005-0000-0000-00005E020000}"/>
    <cellStyle name="_KT (2)_5_Book1_Danh muc pbo nguon von XSKT, XDCB nam 2009 chuyen qua nam 2010" xfId="531" xr:uid="{00000000-0005-0000-0000-00005F020000}"/>
    <cellStyle name="_KT (2)_5_Book1_dieu chinh KH 2011 ngay 26-5-2011111" xfId="532" xr:uid="{00000000-0005-0000-0000-000060020000}"/>
    <cellStyle name="_KT (2)_5_Book1_DS KCH PHAN BO VON NSDP NAM 2010" xfId="533" xr:uid="{00000000-0005-0000-0000-000061020000}"/>
    <cellStyle name="_KT (2)_5_Book1_giao KH 2011 ngay 10-12-2010" xfId="534" xr:uid="{00000000-0005-0000-0000-000062020000}"/>
    <cellStyle name="_KT (2)_5_Book1_Luy ke von ung nam 2011 -Thoa gui ngay 12-8-2012" xfId="535" xr:uid="{00000000-0005-0000-0000-000063020000}"/>
    <cellStyle name="_KT (2)_5_CAU Khanh Nam(Thi Cong)" xfId="536" xr:uid="{00000000-0005-0000-0000-000064020000}"/>
    <cellStyle name="_KT (2)_5_CAU Khanh Nam(Thi Cong) 2" xfId="4343" xr:uid="{00000000-0005-0000-0000-000065020000}"/>
    <cellStyle name="_KT (2)_5_ChiHuong_ApGia" xfId="539" xr:uid="{00000000-0005-0000-0000-000066020000}"/>
    <cellStyle name="_KT (2)_5_ChiHuong_ApGia 2" xfId="4344" xr:uid="{00000000-0005-0000-0000-000067020000}"/>
    <cellStyle name="_KT (2)_5_CoCauPhi (version 1)" xfId="537" xr:uid="{00000000-0005-0000-0000-000068020000}"/>
    <cellStyle name="_KT (2)_5_Copy of 05-12  KH trung han 2016-2020 - Liem Thinh edited (1)" xfId="538" xr:uid="{00000000-0005-0000-0000-000069020000}"/>
    <cellStyle name="_KT (2)_5_danh muc chuan bi dau tu 2011 ngay 07-6-2011" xfId="540" xr:uid="{00000000-0005-0000-0000-00006A020000}"/>
    <cellStyle name="_KT (2)_5_Danh muc pbo nguon von XSKT, XDCB nam 2009 chuyen qua nam 2010" xfId="541" xr:uid="{00000000-0005-0000-0000-00006B020000}"/>
    <cellStyle name="_KT (2)_5_Danh muc pbo nguon von XSKT, XDCB nam 2009 chuyen qua nam 2010 2" xfId="4345" xr:uid="{00000000-0005-0000-0000-00006C020000}"/>
    <cellStyle name="_KT (2)_5_DAU NOI PL-CL TAI PHU LAMHC" xfId="542" xr:uid="{00000000-0005-0000-0000-00006D020000}"/>
    <cellStyle name="_KT (2)_5_dieu chinh KH 2011 ngay 26-5-2011111" xfId="543" xr:uid="{00000000-0005-0000-0000-00006E020000}"/>
    <cellStyle name="_KT (2)_5_DS KCH PHAN BO VON NSDP NAM 2010" xfId="544" xr:uid="{00000000-0005-0000-0000-00006F020000}"/>
    <cellStyle name="_KT (2)_5_DS KCH PHAN BO VON NSDP NAM 2010 2" xfId="4346" xr:uid="{00000000-0005-0000-0000-000070020000}"/>
    <cellStyle name="_KT (2)_5_DTCDT MR.2N110.HOCMON.TDTOAN.CCUNG" xfId="545" xr:uid="{00000000-0005-0000-0000-000071020000}"/>
    <cellStyle name="_KT (2)_5_DU TRU VAT TU" xfId="546" xr:uid="{00000000-0005-0000-0000-000072020000}"/>
    <cellStyle name="_KT (2)_5_DU TRU VAT TU 2" xfId="4347" xr:uid="{00000000-0005-0000-0000-000073020000}"/>
    <cellStyle name="_KT (2)_5_giao KH 2011 ngay 10-12-2010" xfId="548" xr:uid="{00000000-0005-0000-0000-000074020000}"/>
    <cellStyle name="_KT (2)_5_GTGT 2003" xfId="547" xr:uid="{00000000-0005-0000-0000-000075020000}"/>
    <cellStyle name="_KT (2)_5_KE KHAI THUE GTGT 2004" xfId="549" xr:uid="{00000000-0005-0000-0000-000076020000}"/>
    <cellStyle name="_KT (2)_5_KE KHAI THUE GTGT 2004 2" xfId="4348" xr:uid="{00000000-0005-0000-0000-000077020000}"/>
    <cellStyle name="_KT (2)_5_KE KHAI THUE GTGT 2004_BCTC2004" xfId="550" xr:uid="{00000000-0005-0000-0000-000078020000}"/>
    <cellStyle name="_KT (2)_5_KH TPCP 2016-2020 (tong hop)" xfId="552" xr:uid="{00000000-0005-0000-0000-000079020000}"/>
    <cellStyle name="_KT (2)_5_KH TPCP vung TNB (03-1-2012)" xfId="553" xr:uid="{00000000-0005-0000-0000-00007A020000}"/>
    <cellStyle name="_KT (2)_5_kien giang 2" xfId="551" xr:uid="{00000000-0005-0000-0000-00007B020000}"/>
    <cellStyle name="_KT (2)_5_Lora-tungchau" xfId="554" xr:uid="{00000000-0005-0000-0000-00007C020000}"/>
    <cellStyle name="_KT (2)_5_Luy ke von ung nam 2011 -Thoa gui ngay 12-8-2012" xfId="555" xr:uid="{00000000-0005-0000-0000-00007D020000}"/>
    <cellStyle name="_KT (2)_5_Luy ke von ung nam 2011 -Thoa gui ngay 12-8-2012 2" xfId="4349" xr:uid="{00000000-0005-0000-0000-00007E020000}"/>
    <cellStyle name="_KT (2)_5_NhanCong" xfId="557" xr:uid="{00000000-0005-0000-0000-00007F020000}"/>
    <cellStyle name="_KT (2)_5_N-X-T-04" xfId="556" xr:uid="{00000000-0005-0000-0000-000080020000}"/>
    <cellStyle name="_KT (2)_5_PGIA-phieu tham tra Kho bac" xfId="558" xr:uid="{00000000-0005-0000-0000-000081020000}"/>
    <cellStyle name="_KT (2)_5_phu luc tong ket tinh hinh TH giai doan 03-10 (ngay 30)" xfId="563" xr:uid="{00000000-0005-0000-0000-000082020000}"/>
    <cellStyle name="_KT (2)_5_phu luc tong ket tinh hinh TH giai doan 03-10 (ngay 30) 2" xfId="4350" xr:uid="{00000000-0005-0000-0000-000083020000}"/>
    <cellStyle name="_KT (2)_5_PT02-02" xfId="559" xr:uid="{00000000-0005-0000-0000-000084020000}"/>
    <cellStyle name="_KT (2)_5_PT02-02_Book1" xfId="560" xr:uid="{00000000-0005-0000-0000-000085020000}"/>
    <cellStyle name="_KT (2)_5_PT02-03" xfId="561" xr:uid="{00000000-0005-0000-0000-000086020000}"/>
    <cellStyle name="_KT (2)_5_PT02-03_Book1" xfId="562" xr:uid="{00000000-0005-0000-0000-000087020000}"/>
    <cellStyle name="_KT (2)_5_Qt-HT3PQ1(CauKho)" xfId="564" xr:uid="{00000000-0005-0000-0000-000088020000}"/>
    <cellStyle name="_KT (2)_5_Sheet1" xfId="565" xr:uid="{00000000-0005-0000-0000-000089020000}"/>
    <cellStyle name="_KT (2)_5_TK152-04" xfId="566" xr:uid="{00000000-0005-0000-0000-00008A020000}"/>
    <cellStyle name="_KT (2)_5_ÿÿÿÿÿ" xfId="567" xr:uid="{00000000-0005-0000-0000-00008B020000}"/>
    <cellStyle name="_KT (2)_5_ÿÿÿÿÿ 2" xfId="4351" xr:uid="{00000000-0005-0000-0000-00008C020000}"/>
    <cellStyle name="_KT (2)_5_ÿÿÿÿÿ_Bieu mau cong trinh khoi cong moi 3-4" xfId="568" xr:uid="{00000000-0005-0000-0000-00008D020000}"/>
    <cellStyle name="_KT (2)_5_ÿÿÿÿÿ_Bieu mau cong trinh khoi cong moi 3-4 2" xfId="4352" xr:uid="{00000000-0005-0000-0000-00008E020000}"/>
    <cellStyle name="_KT (2)_5_ÿÿÿÿÿ_Bieu3ODA" xfId="569" xr:uid="{00000000-0005-0000-0000-00008F020000}"/>
    <cellStyle name="_KT (2)_5_ÿÿÿÿÿ_Bieu3ODA 2" xfId="4353" xr:uid="{00000000-0005-0000-0000-000090020000}"/>
    <cellStyle name="_KT (2)_5_ÿÿÿÿÿ_Bieu4HTMT" xfId="570" xr:uid="{00000000-0005-0000-0000-000091020000}"/>
    <cellStyle name="_KT (2)_5_ÿÿÿÿÿ_Bieu4HTMT 2" xfId="4354" xr:uid="{00000000-0005-0000-0000-000092020000}"/>
    <cellStyle name="_KT (2)_5_ÿÿÿÿÿ_KH TPCP vung TNB (03-1-2012)" xfId="572" xr:uid="{00000000-0005-0000-0000-000093020000}"/>
    <cellStyle name="_KT (2)_5_ÿÿÿÿÿ_kien giang 2" xfId="571" xr:uid="{00000000-0005-0000-0000-000094020000}"/>
    <cellStyle name="_KT (2)_BC  NAM 2007" xfId="573" xr:uid="{00000000-0005-0000-0000-000095020000}"/>
    <cellStyle name="_KT (2)_Bieu mau cong trinh khoi cong moi 3-4" xfId="574" xr:uid="{00000000-0005-0000-0000-000096020000}"/>
    <cellStyle name="_KT (2)_Bieu3ODA" xfId="575" xr:uid="{00000000-0005-0000-0000-000097020000}"/>
    <cellStyle name="_KT (2)_Bieu3ODA_1" xfId="576" xr:uid="{00000000-0005-0000-0000-000098020000}"/>
    <cellStyle name="_KT (2)_Bieu4HTMT" xfId="577" xr:uid="{00000000-0005-0000-0000-000099020000}"/>
    <cellStyle name="_KT (2)_bo sung von KCH nam 2010 va Du an tre kho khan" xfId="578" xr:uid="{00000000-0005-0000-0000-00009A020000}"/>
    <cellStyle name="_KT (2)_Book1" xfId="579" xr:uid="{00000000-0005-0000-0000-00009B020000}"/>
    <cellStyle name="_KT (2)_Book1 2" xfId="580" xr:uid="{00000000-0005-0000-0000-00009C020000}"/>
    <cellStyle name="_KT (2)_Book1_BC-QT-WB-dthao" xfId="581" xr:uid="{00000000-0005-0000-0000-00009D020000}"/>
    <cellStyle name="_KT (2)_Book1_BC-QT-WB-dthao_05-12  KH trung han 2016-2020 - Liem Thinh edited" xfId="582" xr:uid="{00000000-0005-0000-0000-00009E020000}"/>
    <cellStyle name="_KT (2)_Book1_BC-QT-WB-dthao_Copy of 05-12  KH trung han 2016-2020 - Liem Thinh edited (1)" xfId="583" xr:uid="{00000000-0005-0000-0000-00009F020000}"/>
    <cellStyle name="_KT (2)_Book1_BC-QT-WB-dthao_KH TPCP 2016-2020 (tong hop)" xfId="584" xr:uid="{00000000-0005-0000-0000-0000A0020000}"/>
    <cellStyle name="_KT (2)_Book1_KH TPCP vung TNB (03-1-2012)" xfId="586" xr:uid="{00000000-0005-0000-0000-0000A1020000}"/>
    <cellStyle name="_KT (2)_Book1_kien giang 2" xfId="585" xr:uid="{00000000-0005-0000-0000-0000A2020000}"/>
    <cellStyle name="_KT (2)_Copy of 05-12  KH trung han 2016-2020 - Liem Thinh edited (1)" xfId="587" xr:uid="{00000000-0005-0000-0000-0000A3020000}"/>
    <cellStyle name="_KT (2)_danh muc chuan bi dau tu 2011 ngay 07-6-2011" xfId="588" xr:uid="{00000000-0005-0000-0000-0000A4020000}"/>
    <cellStyle name="_KT (2)_Danh muc pbo nguon von XSKT, XDCB nam 2009 chuyen qua nam 2010" xfId="589" xr:uid="{00000000-0005-0000-0000-0000A5020000}"/>
    <cellStyle name="_KT (2)_dieu chinh KH 2011 ngay 26-5-2011111" xfId="590" xr:uid="{00000000-0005-0000-0000-0000A6020000}"/>
    <cellStyle name="_KT (2)_DS KCH PHAN BO VON NSDP NAM 2010" xfId="591" xr:uid="{00000000-0005-0000-0000-0000A7020000}"/>
    <cellStyle name="_KT (2)_giao KH 2011 ngay 10-12-2010" xfId="593" xr:uid="{00000000-0005-0000-0000-0000A8020000}"/>
    <cellStyle name="_KT (2)_GTGT 2003" xfId="592" xr:uid="{00000000-0005-0000-0000-0000A9020000}"/>
    <cellStyle name="_KT (2)_KE KHAI THUE GTGT 2004" xfId="594" xr:uid="{00000000-0005-0000-0000-0000AA020000}"/>
    <cellStyle name="_KT (2)_KE KHAI THUE GTGT 2004_BCTC2004" xfId="595" xr:uid="{00000000-0005-0000-0000-0000AB020000}"/>
    <cellStyle name="_KT (2)_KH TPCP 2016-2020 (tong hop)" xfId="597" xr:uid="{00000000-0005-0000-0000-0000AC020000}"/>
    <cellStyle name="_KT (2)_KH TPCP vung TNB (03-1-2012)" xfId="598" xr:uid="{00000000-0005-0000-0000-0000AD020000}"/>
    <cellStyle name="_KT (2)_kien giang 2" xfId="596" xr:uid="{00000000-0005-0000-0000-0000AE020000}"/>
    <cellStyle name="_KT (2)_Lora-tungchau" xfId="599" xr:uid="{00000000-0005-0000-0000-0000AF020000}"/>
    <cellStyle name="_KT (2)_Lora-tungchau 2" xfId="600" xr:uid="{00000000-0005-0000-0000-0000B0020000}"/>
    <cellStyle name="_KT (2)_Lora-tungchau_05-12  KH trung han 2016-2020 - Liem Thinh edited" xfId="601" xr:uid="{00000000-0005-0000-0000-0000B1020000}"/>
    <cellStyle name="_KT (2)_Lora-tungchau_Copy of 05-12  KH trung han 2016-2020 - Liem Thinh edited (1)" xfId="602" xr:uid="{00000000-0005-0000-0000-0000B2020000}"/>
    <cellStyle name="_KT (2)_Lora-tungchau_KH TPCP 2016-2020 (tong hop)" xfId="603" xr:uid="{00000000-0005-0000-0000-0000B3020000}"/>
    <cellStyle name="_KT (2)_N-X-T-04" xfId="604" xr:uid="{00000000-0005-0000-0000-0000B4020000}"/>
    <cellStyle name="_KT (2)_PERSONAL" xfId="605" xr:uid="{00000000-0005-0000-0000-0000B5020000}"/>
    <cellStyle name="_KT (2)_PERSONAL_BC CV 6403 BKHĐT" xfId="606" xr:uid="{00000000-0005-0000-0000-0000B6020000}"/>
    <cellStyle name="_KT (2)_PERSONAL_Bieu mau cong trinh khoi cong moi 3-4" xfId="607" xr:uid="{00000000-0005-0000-0000-0000B7020000}"/>
    <cellStyle name="_KT (2)_PERSONAL_Bieu3ODA" xfId="608" xr:uid="{00000000-0005-0000-0000-0000B8020000}"/>
    <cellStyle name="_KT (2)_PERSONAL_Bieu4HTMT" xfId="609" xr:uid="{00000000-0005-0000-0000-0000B9020000}"/>
    <cellStyle name="_KT (2)_PERSONAL_Book1" xfId="610" xr:uid="{00000000-0005-0000-0000-0000BA020000}"/>
    <cellStyle name="_KT (2)_PERSONAL_Book1 2" xfId="611" xr:uid="{00000000-0005-0000-0000-0000BB020000}"/>
    <cellStyle name="_KT (2)_PERSONAL_HTQ.8 GD1" xfId="612" xr:uid="{00000000-0005-0000-0000-0000BC020000}"/>
    <cellStyle name="_KT (2)_PERSONAL_HTQ.8 GD1_05-12  KH trung han 2016-2020 - Liem Thinh edited" xfId="613" xr:uid="{00000000-0005-0000-0000-0000BD020000}"/>
    <cellStyle name="_KT (2)_PERSONAL_HTQ.8 GD1_Copy of 05-12  KH trung han 2016-2020 - Liem Thinh edited (1)" xfId="614" xr:uid="{00000000-0005-0000-0000-0000BE020000}"/>
    <cellStyle name="_KT (2)_PERSONAL_HTQ.8 GD1_KH TPCP 2016-2020 (tong hop)" xfId="615" xr:uid="{00000000-0005-0000-0000-0000BF020000}"/>
    <cellStyle name="_KT (2)_PERSONAL_Luy ke von ung nam 2011 -Thoa gui ngay 12-8-2012" xfId="616" xr:uid="{00000000-0005-0000-0000-0000C0020000}"/>
    <cellStyle name="_KT (2)_PERSONAL_Tong hop KHCB 2001" xfId="617" xr:uid="{00000000-0005-0000-0000-0000C1020000}"/>
    <cellStyle name="_KT (2)_Qt-HT3PQ1(CauKho)" xfId="618" xr:uid="{00000000-0005-0000-0000-0000C2020000}"/>
    <cellStyle name="_KT (2)_TG-TH" xfId="619" xr:uid="{00000000-0005-0000-0000-0000C3020000}"/>
    <cellStyle name="_KT (2)_TK152-04" xfId="620" xr:uid="{00000000-0005-0000-0000-0000C4020000}"/>
    <cellStyle name="_KT (2)_ÿÿÿÿÿ" xfId="621" xr:uid="{00000000-0005-0000-0000-0000C5020000}"/>
    <cellStyle name="_KT (2)_ÿÿÿÿÿ_KH TPCP vung TNB (03-1-2012)" xfId="623" xr:uid="{00000000-0005-0000-0000-0000C6020000}"/>
    <cellStyle name="_KT (2)_ÿÿÿÿÿ_kien giang 2" xfId="622" xr:uid="{00000000-0005-0000-0000-0000C7020000}"/>
    <cellStyle name="_KT_TG" xfId="624" xr:uid="{00000000-0005-0000-0000-0000C8020000}"/>
    <cellStyle name="_KT_TG_1" xfId="625" xr:uid="{00000000-0005-0000-0000-0000C9020000}"/>
    <cellStyle name="_KT_TG_1 2" xfId="626" xr:uid="{00000000-0005-0000-0000-0000CA020000}"/>
    <cellStyle name="_KT_TG_1_05-12  KH trung han 2016-2020 - Liem Thinh edited" xfId="627" xr:uid="{00000000-0005-0000-0000-0000CB020000}"/>
    <cellStyle name="_KT_TG_1_ApGiaVatTu_cayxanh_latgach" xfId="628" xr:uid="{00000000-0005-0000-0000-0000CC020000}"/>
    <cellStyle name="_KT_TG_1_BANG TONG HOP TINH HINH THANH QUYET TOAN (MOI I)" xfId="629" xr:uid="{00000000-0005-0000-0000-0000CD020000}"/>
    <cellStyle name="_KT_TG_1_BANG TONG HOP TINH HINH THANH QUYET TOAN (MOI I) 2" xfId="4355" xr:uid="{00000000-0005-0000-0000-0000CE020000}"/>
    <cellStyle name="_KT_TG_1_BAO CAO KLCT PT2000" xfId="630" xr:uid="{00000000-0005-0000-0000-0000CF020000}"/>
    <cellStyle name="_KT_TG_1_BAO CAO PT2000" xfId="631" xr:uid="{00000000-0005-0000-0000-0000D0020000}"/>
    <cellStyle name="_KT_TG_1_BAO CAO PT2000_Book1" xfId="632" xr:uid="{00000000-0005-0000-0000-0000D1020000}"/>
    <cellStyle name="_KT_TG_1_Bao cao XDCB 2001 - T11 KH dieu chinh 20-11-THAI" xfId="633" xr:uid="{00000000-0005-0000-0000-0000D2020000}"/>
    <cellStyle name="_KT_TG_1_BAO GIA NGAY 24-10-08 (co dam)" xfId="634" xr:uid="{00000000-0005-0000-0000-0000D3020000}"/>
    <cellStyle name="_KT_TG_1_BAO GIA NGAY 24-10-08 (co dam) 2" xfId="4356" xr:uid="{00000000-0005-0000-0000-0000D4020000}"/>
    <cellStyle name="_KT_TG_1_BC  NAM 2007" xfId="635" xr:uid="{00000000-0005-0000-0000-0000D5020000}"/>
    <cellStyle name="_KT_TG_1_BC CV 6403 BKHĐT" xfId="636" xr:uid="{00000000-0005-0000-0000-0000D6020000}"/>
    <cellStyle name="_KT_TG_1_BC CV 6403 BKHĐT 2" xfId="4357" xr:uid="{00000000-0005-0000-0000-0000D7020000}"/>
    <cellStyle name="_KT_TG_1_BC NQ11-CP - chinh sua lai" xfId="637" xr:uid="{00000000-0005-0000-0000-0000D8020000}"/>
    <cellStyle name="_KT_TG_1_BC NQ11-CP-Quynh sau bieu so3" xfId="638" xr:uid="{00000000-0005-0000-0000-0000D9020000}"/>
    <cellStyle name="_KT_TG_1_BC_NQ11-CP_-_Thao_sua_lai" xfId="639" xr:uid="{00000000-0005-0000-0000-0000DA020000}"/>
    <cellStyle name="_KT_TG_1_Bieu mau cong trinh khoi cong moi 3-4" xfId="640" xr:uid="{00000000-0005-0000-0000-0000DB020000}"/>
    <cellStyle name="_KT_TG_1_Bieu mau cong trinh khoi cong moi 3-4 2" xfId="4358" xr:uid="{00000000-0005-0000-0000-0000DC020000}"/>
    <cellStyle name="_KT_TG_1_Bieu3ODA" xfId="641" xr:uid="{00000000-0005-0000-0000-0000DD020000}"/>
    <cellStyle name="_KT_TG_1_Bieu3ODA_1" xfId="642" xr:uid="{00000000-0005-0000-0000-0000DE020000}"/>
    <cellStyle name="_KT_TG_1_Bieu4HTMT" xfId="643" xr:uid="{00000000-0005-0000-0000-0000DF020000}"/>
    <cellStyle name="_KT_TG_1_Bieu4HTMT 2" xfId="4359" xr:uid="{00000000-0005-0000-0000-0000E0020000}"/>
    <cellStyle name="_KT_TG_1_bo sung von KCH nam 2010 va Du an tre kho khan" xfId="644" xr:uid="{00000000-0005-0000-0000-0000E1020000}"/>
    <cellStyle name="_KT_TG_1_bo sung von KCH nam 2010 va Du an tre kho khan 2" xfId="4360" xr:uid="{00000000-0005-0000-0000-0000E2020000}"/>
    <cellStyle name="_KT_TG_1_Book1" xfId="645" xr:uid="{00000000-0005-0000-0000-0000E3020000}"/>
    <cellStyle name="_KT_TG_1_Book1 2" xfId="646" xr:uid="{00000000-0005-0000-0000-0000E4020000}"/>
    <cellStyle name="_KT_TG_1_Book1_1" xfId="647" xr:uid="{00000000-0005-0000-0000-0000E5020000}"/>
    <cellStyle name="_KT_TG_1_Book1_1 2" xfId="648" xr:uid="{00000000-0005-0000-0000-0000E6020000}"/>
    <cellStyle name="_KT_TG_1_Book1_1 3" xfId="4361" xr:uid="{00000000-0005-0000-0000-0000E7020000}"/>
    <cellStyle name="_KT_TG_1_Book1_1_BC CV 6403 BKHĐT" xfId="649" xr:uid="{00000000-0005-0000-0000-0000E8020000}"/>
    <cellStyle name="_KT_TG_1_Book1_1_BC CV 6403 BKHĐT 2" xfId="4362" xr:uid="{00000000-0005-0000-0000-0000E9020000}"/>
    <cellStyle name="_KT_TG_1_Book1_1_Bieu mau cong trinh khoi cong moi 3-4" xfId="650" xr:uid="{00000000-0005-0000-0000-0000EA020000}"/>
    <cellStyle name="_KT_TG_1_Book1_1_Bieu mau cong trinh khoi cong moi 3-4 2" xfId="4363" xr:uid="{00000000-0005-0000-0000-0000EB020000}"/>
    <cellStyle name="_KT_TG_1_Book1_1_Bieu3ODA" xfId="651" xr:uid="{00000000-0005-0000-0000-0000EC020000}"/>
    <cellStyle name="_KT_TG_1_Book1_1_Bieu3ODA 2" xfId="4364" xr:uid="{00000000-0005-0000-0000-0000ED020000}"/>
    <cellStyle name="_KT_TG_1_Book1_1_Bieu4HTMT" xfId="652" xr:uid="{00000000-0005-0000-0000-0000EE020000}"/>
    <cellStyle name="_KT_TG_1_Book1_1_Bieu4HTMT 2" xfId="4365" xr:uid="{00000000-0005-0000-0000-0000EF020000}"/>
    <cellStyle name="_KT_TG_1_Book1_1_Book1" xfId="653" xr:uid="{00000000-0005-0000-0000-0000F0020000}"/>
    <cellStyle name="_KT_TG_1_Book1_1_Luy ke von ung nam 2011 -Thoa gui ngay 12-8-2012" xfId="654" xr:uid="{00000000-0005-0000-0000-0000F1020000}"/>
    <cellStyle name="_KT_TG_1_Book1_1_Luy ke von ung nam 2011 -Thoa gui ngay 12-8-2012 2" xfId="4366" xr:uid="{00000000-0005-0000-0000-0000F2020000}"/>
    <cellStyle name="_KT_TG_1_Book1_2" xfId="655" xr:uid="{00000000-0005-0000-0000-0000F3020000}"/>
    <cellStyle name="_KT_TG_1_Book1_2 2" xfId="656" xr:uid="{00000000-0005-0000-0000-0000F4020000}"/>
    <cellStyle name="_KT_TG_1_Book1_2_BC CV 6403 BKHĐT" xfId="657" xr:uid="{00000000-0005-0000-0000-0000F5020000}"/>
    <cellStyle name="_KT_TG_1_Book1_2_Bieu3ODA" xfId="658" xr:uid="{00000000-0005-0000-0000-0000F6020000}"/>
    <cellStyle name="_KT_TG_1_Book1_2_Luy ke von ung nam 2011 -Thoa gui ngay 12-8-2012" xfId="659" xr:uid="{00000000-0005-0000-0000-0000F7020000}"/>
    <cellStyle name="_KT_TG_1_Book1_3" xfId="660" xr:uid="{00000000-0005-0000-0000-0000F8020000}"/>
    <cellStyle name="_KT_TG_1_Book1_BC CV 6403 BKHĐT" xfId="661" xr:uid="{00000000-0005-0000-0000-0000F9020000}"/>
    <cellStyle name="_KT_TG_1_Book1_BC-QT-WB-dthao" xfId="662" xr:uid="{00000000-0005-0000-0000-0000FA020000}"/>
    <cellStyle name="_KT_TG_1_Book1_Bieu mau cong trinh khoi cong moi 3-4" xfId="663" xr:uid="{00000000-0005-0000-0000-0000FB020000}"/>
    <cellStyle name="_KT_TG_1_Book1_Bieu3ODA" xfId="664" xr:uid="{00000000-0005-0000-0000-0000FC020000}"/>
    <cellStyle name="_KT_TG_1_Book1_Bieu4HTMT" xfId="665" xr:uid="{00000000-0005-0000-0000-0000FD020000}"/>
    <cellStyle name="_KT_TG_1_Book1_bo sung von KCH nam 2010 va Du an tre kho khan" xfId="666" xr:uid="{00000000-0005-0000-0000-0000FE020000}"/>
    <cellStyle name="_KT_TG_1_Book1_Book1" xfId="667" xr:uid="{00000000-0005-0000-0000-0000FF020000}"/>
    <cellStyle name="_KT_TG_1_Book1_danh muc chuan bi dau tu 2011 ngay 07-6-2011" xfId="668" xr:uid="{00000000-0005-0000-0000-000000030000}"/>
    <cellStyle name="_KT_TG_1_Book1_Danh muc pbo nguon von XSKT, XDCB nam 2009 chuyen qua nam 2010" xfId="669" xr:uid="{00000000-0005-0000-0000-000001030000}"/>
    <cellStyle name="_KT_TG_1_Book1_dieu chinh KH 2011 ngay 26-5-2011111" xfId="670" xr:uid="{00000000-0005-0000-0000-000002030000}"/>
    <cellStyle name="_KT_TG_1_Book1_DS KCH PHAN BO VON NSDP NAM 2010" xfId="671" xr:uid="{00000000-0005-0000-0000-000003030000}"/>
    <cellStyle name="_KT_TG_1_Book1_giao KH 2011 ngay 10-12-2010" xfId="672" xr:uid="{00000000-0005-0000-0000-000004030000}"/>
    <cellStyle name="_KT_TG_1_Book1_Luy ke von ung nam 2011 -Thoa gui ngay 12-8-2012" xfId="673" xr:uid="{00000000-0005-0000-0000-000005030000}"/>
    <cellStyle name="_KT_TG_1_CAU Khanh Nam(Thi Cong)" xfId="674" xr:uid="{00000000-0005-0000-0000-000006030000}"/>
    <cellStyle name="_KT_TG_1_CAU Khanh Nam(Thi Cong) 2" xfId="4367" xr:uid="{00000000-0005-0000-0000-000007030000}"/>
    <cellStyle name="_KT_TG_1_ChiHuong_ApGia" xfId="677" xr:uid="{00000000-0005-0000-0000-000008030000}"/>
    <cellStyle name="_KT_TG_1_ChiHuong_ApGia 2" xfId="4368" xr:uid="{00000000-0005-0000-0000-000009030000}"/>
    <cellStyle name="_KT_TG_1_CoCauPhi (version 1)" xfId="675" xr:uid="{00000000-0005-0000-0000-00000A030000}"/>
    <cellStyle name="_KT_TG_1_Copy of 05-12  KH trung han 2016-2020 - Liem Thinh edited (1)" xfId="676" xr:uid="{00000000-0005-0000-0000-00000B030000}"/>
    <cellStyle name="_KT_TG_1_danh muc chuan bi dau tu 2011 ngay 07-6-2011" xfId="678" xr:uid="{00000000-0005-0000-0000-00000C030000}"/>
    <cellStyle name="_KT_TG_1_Danh muc pbo nguon von XSKT, XDCB nam 2009 chuyen qua nam 2010" xfId="679" xr:uid="{00000000-0005-0000-0000-00000D030000}"/>
    <cellStyle name="_KT_TG_1_Danh muc pbo nguon von XSKT, XDCB nam 2009 chuyen qua nam 2010 2" xfId="4369" xr:uid="{00000000-0005-0000-0000-00000E030000}"/>
    <cellStyle name="_KT_TG_1_DAU NOI PL-CL TAI PHU LAMHC" xfId="680" xr:uid="{00000000-0005-0000-0000-00000F030000}"/>
    <cellStyle name="_KT_TG_1_dieu chinh KH 2011 ngay 26-5-2011111" xfId="681" xr:uid="{00000000-0005-0000-0000-000010030000}"/>
    <cellStyle name="_KT_TG_1_DS KCH PHAN BO VON NSDP NAM 2010" xfId="682" xr:uid="{00000000-0005-0000-0000-000011030000}"/>
    <cellStyle name="_KT_TG_1_DS KCH PHAN BO VON NSDP NAM 2010 2" xfId="4370" xr:uid="{00000000-0005-0000-0000-000012030000}"/>
    <cellStyle name="_KT_TG_1_DTCDT MR.2N110.HOCMON.TDTOAN.CCUNG" xfId="683" xr:uid="{00000000-0005-0000-0000-000013030000}"/>
    <cellStyle name="_KT_TG_1_DU TRU VAT TU" xfId="684" xr:uid="{00000000-0005-0000-0000-000014030000}"/>
    <cellStyle name="_KT_TG_1_DU TRU VAT TU 2" xfId="4371" xr:uid="{00000000-0005-0000-0000-000015030000}"/>
    <cellStyle name="_KT_TG_1_giao KH 2011 ngay 10-12-2010" xfId="686" xr:uid="{00000000-0005-0000-0000-000016030000}"/>
    <cellStyle name="_KT_TG_1_GTGT 2003" xfId="685" xr:uid="{00000000-0005-0000-0000-000017030000}"/>
    <cellStyle name="_KT_TG_1_KE KHAI THUE GTGT 2004" xfId="687" xr:uid="{00000000-0005-0000-0000-000018030000}"/>
    <cellStyle name="_KT_TG_1_KE KHAI THUE GTGT 2004 2" xfId="4372" xr:uid="{00000000-0005-0000-0000-000019030000}"/>
    <cellStyle name="_KT_TG_1_KE KHAI THUE GTGT 2004_BCTC2004" xfId="688" xr:uid="{00000000-0005-0000-0000-00001A030000}"/>
    <cellStyle name="_KT_TG_1_KH TPCP 2016-2020 (tong hop)" xfId="690" xr:uid="{00000000-0005-0000-0000-00001B030000}"/>
    <cellStyle name="_KT_TG_1_KH TPCP vung TNB (03-1-2012)" xfId="691" xr:uid="{00000000-0005-0000-0000-00001C030000}"/>
    <cellStyle name="_KT_TG_1_kien giang 2" xfId="689" xr:uid="{00000000-0005-0000-0000-00001D030000}"/>
    <cellStyle name="_KT_TG_1_Lora-tungchau" xfId="692" xr:uid="{00000000-0005-0000-0000-00001E030000}"/>
    <cellStyle name="_KT_TG_1_Luy ke von ung nam 2011 -Thoa gui ngay 12-8-2012" xfId="693" xr:uid="{00000000-0005-0000-0000-00001F030000}"/>
    <cellStyle name="_KT_TG_1_Luy ke von ung nam 2011 -Thoa gui ngay 12-8-2012 2" xfId="4373" xr:uid="{00000000-0005-0000-0000-000020030000}"/>
    <cellStyle name="_KT_TG_1_NhanCong" xfId="695" xr:uid="{00000000-0005-0000-0000-000021030000}"/>
    <cellStyle name="_KT_TG_1_N-X-T-04" xfId="694" xr:uid="{00000000-0005-0000-0000-000022030000}"/>
    <cellStyle name="_KT_TG_1_PGIA-phieu tham tra Kho bac" xfId="696" xr:uid="{00000000-0005-0000-0000-000023030000}"/>
    <cellStyle name="_KT_TG_1_phu luc tong ket tinh hinh TH giai doan 03-10 (ngay 30)" xfId="701" xr:uid="{00000000-0005-0000-0000-000024030000}"/>
    <cellStyle name="_KT_TG_1_phu luc tong ket tinh hinh TH giai doan 03-10 (ngay 30) 2" xfId="4374" xr:uid="{00000000-0005-0000-0000-000025030000}"/>
    <cellStyle name="_KT_TG_1_PT02-02" xfId="697" xr:uid="{00000000-0005-0000-0000-000026030000}"/>
    <cellStyle name="_KT_TG_1_PT02-02_Book1" xfId="698" xr:uid="{00000000-0005-0000-0000-000027030000}"/>
    <cellStyle name="_KT_TG_1_PT02-03" xfId="699" xr:uid="{00000000-0005-0000-0000-000028030000}"/>
    <cellStyle name="_KT_TG_1_PT02-03_Book1" xfId="700" xr:uid="{00000000-0005-0000-0000-000029030000}"/>
    <cellStyle name="_KT_TG_1_Qt-HT3PQ1(CauKho)" xfId="702" xr:uid="{00000000-0005-0000-0000-00002A030000}"/>
    <cellStyle name="_KT_TG_1_Sheet1" xfId="703" xr:uid="{00000000-0005-0000-0000-00002B030000}"/>
    <cellStyle name="_KT_TG_1_TK152-04" xfId="704" xr:uid="{00000000-0005-0000-0000-00002C030000}"/>
    <cellStyle name="_KT_TG_1_ÿÿÿÿÿ" xfId="705" xr:uid="{00000000-0005-0000-0000-00002D030000}"/>
    <cellStyle name="_KT_TG_1_ÿÿÿÿÿ 2" xfId="4375" xr:uid="{00000000-0005-0000-0000-00002E030000}"/>
    <cellStyle name="_KT_TG_1_ÿÿÿÿÿ_Bieu mau cong trinh khoi cong moi 3-4" xfId="706" xr:uid="{00000000-0005-0000-0000-00002F030000}"/>
    <cellStyle name="_KT_TG_1_ÿÿÿÿÿ_Bieu mau cong trinh khoi cong moi 3-4 2" xfId="4376" xr:uid="{00000000-0005-0000-0000-000030030000}"/>
    <cellStyle name="_KT_TG_1_ÿÿÿÿÿ_Bieu3ODA" xfId="707" xr:uid="{00000000-0005-0000-0000-000031030000}"/>
    <cellStyle name="_KT_TG_1_ÿÿÿÿÿ_Bieu3ODA 2" xfId="4377" xr:uid="{00000000-0005-0000-0000-000032030000}"/>
    <cellStyle name="_KT_TG_1_ÿÿÿÿÿ_Bieu4HTMT" xfId="708" xr:uid="{00000000-0005-0000-0000-000033030000}"/>
    <cellStyle name="_KT_TG_1_ÿÿÿÿÿ_Bieu4HTMT 2" xfId="4378" xr:uid="{00000000-0005-0000-0000-000034030000}"/>
    <cellStyle name="_KT_TG_1_ÿÿÿÿÿ_KH TPCP vung TNB (03-1-2012)" xfId="710" xr:uid="{00000000-0005-0000-0000-000035030000}"/>
    <cellStyle name="_KT_TG_1_ÿÿÿÿÿ_kien giang 2" xfId="709" xr:uid="{00000000-0005-0000-0000-000036030000}"/>
    <cellStyle name="_KT_TG_2" xfId="711" xr:uid="{00000000-0005-0000-0000-000037030000}"/>
    <cellStyle name="_KT_TG_2 2" xfId="712" xr:uid="{00000000-0005-0000-0000-000038030000}"/>
    <cellStyle name="_KT_TG_2_05-12  KH trung han 2016-2020 - Liem Thinh edited" xfId="713" xr:uid="{00000000-0005-0000-0000-000039030000}"/>
    <cellStyle name="_KT_TG_2_ApGiaVatTu_cayxanh_latgach" xfId="714" xr:uid="{00000000-0005-0000-0000-00003A030000}"/>
    <cellStyle name="_KT_TG_2_BANG TONG HOP TINH HINH THANH QUYET TOAN (MOI I)" xfId="715" xr:uid="{00000000-0005-0000-0000-00003B030000}"/>
    <cellStyle name="_KT_TG_2_BANG TONG HOP TINH HINH THANH QUYET TOAN (MOI I) 2" xfId="4379" xr:uid="{00000000-0005-0000-0000-00003C030000}"/>
    <cellStyle name="_KT_TG_2_BAO CAO KLCT PT2000" xfId="716" xr:uid="{00000000-0005-0000-0000-00003D030000}"/>
    <cellStyle name="_KT_TG_2_BAO CAO PT2000" xfId="717" xr:uid="{00000000-0005-0000-0000-00003E030000}"/>
    <cellStyle name="_KT_TG_2_BAO CAO PT2000_Book1" xfId="718" xr:uid="{00000000-0005-0000-0000-00003F030000}"/>
    <cellStyle name="_KT_TG_2_Bao cao XDCB 2001 - T11 KH dieu chinh 20-11-THAI" xfId="719" xr:uid="{00000000-0005-0000-0000-000040030000}"/>
    <cellStyle name="_KT_TG_2_BAO GIA NGAY 24-10-08 (co dam)" xfId="720" xr:uid="{00000000-0005-0000-0000-000041030000}"/>
    <cellStyle name="_KT_TG_2_BAO GIA NGAY 24-10-08 (co dam) 2" xfId="4380" xr:uid="{00000000-0005-0000-0000-000042030000}"/>
    <cellStyle name="_KT_TG_2_BC  NAM 2007" xfId="721" xr:uid="{00000000-0005-0000-0000-000043030000}"/>
    <cellStyle name="_KT_TG_2_BC CV 6403 BKHĐT" xfId="722" xr:uid="{00000000-0005-0000-0000-000044030000}"/>
    <cellStyle name="_KT_TG_2_BC CV 6403 BKHĐT 2" xfId="4381" xr:uid="{00000000-0005-0000-0000-000045030000}"/>
    <cellStyle name="_KT_TG_2_BC NQ11-CP - chinh sua lai" xfId="723" xr:uid="{00000000-0005-0000-0000-000046030000}"/>
    <cellStyle name="_KT_TG_2_BC NQ11-CP-Quynh sau bieu so3" xfId="724" xr:uid="{00000000-0005-0000-0000-000047030000}"/>
    <cellStyle name="_KT_TG_2_BC_NQ11-CP_-_Thao_sua_lai" xfId="725" xr:uid="{00000000-0005-0000-0000-000048030000}"/>
    <cellStyle name="_KT_TG_2_Bieu mau cong trinh khoi cong moi 3-4" xfId="726" xr:uid="{00000000-0005-0000-0000-000049030000}"/>
    <cellStyle name="_KT_TG_2_Bieu mau cong trinh khoi cong moi 3-4 2" xfId="4382" xr:uid="{00000000-0005-0000-0000-00004A030000}"/>
    <cellStyle name="_KT_TG_2_Bieu3ODA" xfId="727" xr:uid="{00000000-0005-0000-0000-00004B030000}"/>
    <cellStyle name="_KT_TG_2_Bieu3ODA_1" xfId="728" xr:uid="{00000000-0005-0000-0000-00004C030000}"/>
    <cellStyle name="_KT_TG_2_Bieu4HTMT" xfId="729" xr:uid="{00000000-0005-0000-0000-00004D030000}"/>
    <cellStyle name="_KT_TG_2_Bieu4HTMT 2" xfId="4383" xr:uid="{00000000-0005-0000-0000-00004E030000}"/>
    <cellStyle name="_KT_TG_2_bo sung von KCH nam 2010 va Du an tre kho khan" xfId="730" xr:uid="{00000000-0005-0000-0000-00004F030000}"/>
    <cellStyle name="_KT_TG_2_bo sung von KCH nam 2010 va Du an tre kho khan 2" xfId="4384" xr:uid="{00000000-0005-0000-0000-000050030000}"/>
    <cellStyle name="_KT_TG_2_Book1" xfId="731" xr:uid="{00000000-0005-0000-0000-000051030000}"/>
    <cellStyle name="_KT_TG_2_Book1 2" xfId="732" xr:uid="{00000000-0005-0000-0000-000052030000}"/>
    <cellStyle name="_KT_TG_2_Book1_1" xfId="733" xr:uid="{00000000-0005-0000-0000-000053030000}"/>
    <cellStyle name="_KT_TG_2_Book1_1 2" xfId="734" xr:uid="{00000000-0005-0000-0000-000054030000}"/>
    <cellStyle name="_KT_TG_2_Book1_1 3" xfId="4385" xr:uid="{00000000-0005-0000-0000-000055030000}"/>
    <cellStyle name="_KT_TG_2_Book1_1_BC CV 6403 BKHĐT" xfId="735" xr:uid="{00000000-0005-0000-0000-000056030000}"/>
    <cellStyle name="_KT_TG_2_Book1_1_BC CV 6403 BKHĐT 2" xfId="4386" xr:uid="{00000000-0005-0000-0000-000057030000}"/>
    <cellStyle name="_KT_TG_2_Book1_1_Bieu mau cong trinh khoi cong moi 3-4" xfId="736" xr:uid="{00000000-0005-0000-0000-000058030000}"/>
    <cellStyle name="_KT_TG_2_Book1_1_Bieu mau cong trinh khoi cong moi 3-4 2" xfId="4387" xr:uid="{00000000-0005-0000-0000-000059030000}"/>
    <cellStyle name="_KT_TG_2_Book1_1_Bieu3ODA" xfId="737" xr:uid="{00000000-0005-0000-0000-00005A030000}"/>
    <cellStyle name="_KT_TG_2_Book1_1_Bieu3ODA 2" xfId="4388" xr:uid="{00000000-0005-0000-0000-00005B030000}"/>
    <cellStyle name="_KT_TG_2_Book1_1_Bieu4HTMT" xfId="738" xr:uid="{00000000-0005-0000-0000-00005C030000}"/>
    <cellStyle name="_KT_TG_2_Book1_1_Bieu4HTMT 2" xfId="4389" xr:uid="{00000000-0005-0000-0000-00005D030000}"/>
    <cellStyle name="_KT_TG_2_Book1_1_Book1" xfId="739" xr:uid="{00000000-0005-0000-0000-00005E030000}"/>
    <cellStyle name="_KT_TG_2_Book1_1_Luy ke von ung nam 2011 -Thoa gui ngay 12-8-2012" xfId="740" xr:uid="{00000000-0005-0000-0000-00005F030000}"/>
    <cellStyle name="_KT_TG_2_Book1_1_Luy ke von ung nam 2011 -Thoa gui ngay 12-8-2012 2" xfId="4390" xr:uid="{00000000-0005-0000-0000-000060030000}"/>
    <cellStyle name="_KT_TG_2_Book1_2" xfId="741" xr:uid="{00000000-0005-0000-0000-000061030000}"/>
    <cellStyle name="_KT_TG_2_Book1_2 2" xfId="742" xr:uid="{00000000-0005-0000-0000-000062030000}"/>
    <cellStyle name="_KT_TG_2_Book1_2_BC CV 6403 BKHĐT" xfId="743" xr:uid="{00000000-0005-0000-0000-000063030000}"/>
    <cellStyle name="_KT_TG_2_Book1_2_Bieu3ODA" xfId="744" xr:uid="{00000000-0005-0000-0000-000064030000}"/>
    <cellStyle name="_KT_TG_2_Book1_2_Luy ke von ung nam 2011 -Thoa gui ngay 12-8-2012" xfId="745" xr:uid="{00000000-0005-0000-0000-000065030000}"/>
    <cellStyle name="_KT_TG_2_Book1_3" xfId="746" xr:uid="{00000000-0005-0000-0000-000066030000}"/>
    <cellStyle name="_KT_TG_2_Book1_3 2" xfId="747" xr:uid="{00000000-0005-0000-0000-000067030000}"/>
    <cellStyle name="_KT_TG_2_Book1_BC CV 6403 BKHĐT" xfId="748" xr:uid="{00000000-0005-0000-0000-000068030000}"/>
    <cellStyle name="_KT_TG_2_Book1_Bieu mau cong trinh khoi cong moi 3-4" xfId="749" xr:uid="{00000000-0005-0000-0000-000069030000}"/>
    <cellStyle name="_KT_TG_2_Book1_Bieu3ODA" xfId="750" xr:uid="{00000000-0005-0000-0000-00006A030000}"/>
    <cellStyle name="_KT_TG_2_Book1_Bieu4HTMT" xfId="751" xr:uid="{00000000-0005-0000-0000-00006B030000}"/>
    <cellStyle name="_KT_TG_2_Book1_bo sung von KCH nam 2010 va Du an tre kho khan" xfId="752" xr:uid="{00000000-0005-0000-0000-00006C030000}"/>
    <cellStyle name="_KT_TG_2_Book1_Book1" xfId="753" xr:uid="{00000000-0005-0000-0000-00006D030000}"/>
    <cellStyle name="_KT_TG_2_Book1_danh muc chuan bi dau tu 2011 ngay 07-6-2011" xfId="754" xr:uid="{00000000-0005-0000-0000-00006E030000}"/>
    <cellStyle name="_KT_TG_2_Book1_Danh muc pbo nguon von XSKT, XDCB nam 2009 chuyen qua nam 2010" xfId="755" xr:uid="{00000000-0005-0000-0000-00006F030000}"/>
    <cellStyle name="_KT_TG_2_Book1_dieu chinh KH 2011 ngay 26-5-2011111" xfId="756" xr:uid="{00000000-0005-0000-0000-000070030000}"/>
    <cellStyle name="_KT_TG_2_Book1_DS KCH PHAN BO VON NSDP NAM 2010" xfId="757" xr:uid="{00000000-0005-0000-0000-000071030000}"/>
    <cellStyle name="_KT_TG_2_Book1_giao KH 2011 ngay 10-12-2010" xfId="758" xr:uid="{00000000-0005-0000-0000-000072030000}"/>
    <cellStyle name="_KT_TG_2_Book1_Luy ke von ung nam 2011 -Thoa gui ngay 12-8-2012" xfId="759" xr:uid="{00000000-0005-0000-0000-000073030000}"/>
    <cellStyle name="_KT_TG_2_CAU Khanh Nam(Thi Cong)" xfId="760" xr:uid="{00000000-0005-0000-0000-000074030000}"/>
    <cellStyle name="_KT_TG_2_CAU Khanh Nam(Thi Cong) 2" xfId="4391" xr:uid="{00000000-0005-0000-0000-000075030000}"/>
    <cellStyle name="_KT_TG_2_ChiHuong_ApGia" xfId="763" xr:uid="{00000000-0005-0000-0000-000076030000}"/>
    <cellStyle name="_KT_TG_2_ChiHuong_ApGia 2" xfId="4392" xr:uid="{00000000-0005-0000-0000-000077030000}"/>
    <cellStyle name="_KT_TG_2_CoCauPhi (version 1)" xfId="761" xr:uid="{00000000-0005-0000-0000-000078030000}"/>
    <cellStyle name="_KT_TG_2_Copy of 05-12  KH trung han 2016-2020 - Liem Thinh edited (1)" xfId="762" xr:uid="{00000000-0005-0000-0000-000079030000}"/>
    <cellStyle name="_KT_TG_2_danh muc chuan bi dau tu 2011 ngay 07-6-2011" xfId="764" xr:uid="{00000000-0005-0000-0000-00007A030000}"/>
    <cellStyle name="_KT_TG_2_Danh muc pbo nguon von XSKT, XDCB nam 2009 chuyen qua nam 2010" xfId="765" xr:uid="{00000000-0005-0000-0000-00007B030000}"/>
    <cellStyle name="_KT_TG_2_Danh muc pbo nguon von XSKT, XDCB nam 2009 chuyen qua nam 2010 2" xfId="4393" xr:uid="{00000000-0005-0000-0000-00007C030000}"/>
    <cellStyle name="_KT_TG_2_DAU NOI PL-CL TAI PHU LAMHC" xfId="766" xr:uid="{00000000-0005-0000-0000-00007D030000}"/>
    <cellStyle name="_KT_TG_2_dieu chinh KH 2011 ngay 26-5-2011111" xfId="767" xr:uid="{00000000-0005-0000-0000-00007E030000}"/>
    <cellStyle name="_KT_TG_2_DS KCH PHAN BO VON NSDP NAM 2010" xfId="768" xr:uid="{00000000-0005-0000-0000-00007F030000}"/>
    <cellStyle name="_KT_TG_2_DS KCH PHAN BO VON NSDP NAM 2010 2" xfId="4394" xr:uid="{00000000-0005-0000-0000-000080030000}"/>
    <cellStyle name="_KT_TG_2_DTCDT MR.2N110.HOCMON.TDTOAN.CCUNG" xfId="769" xr:uid="{00000000-0005-0000-0000-000081030000}"/>
    <cellStyle name="_KT_TG_2_DU TRU VAT TU" xfId="770" xr:uid="{00000000-0005-0000-0000-000082030000}"/>
    <cellStyle name="_KT_TG_2_DU TRU VAT TU 2" xfId="4395" xr:uid="{00000000-0005-0000-0000-000083030000}"/>
    <cellStyle name="_KT_TG_2_giao KH 2011 ngay 10-12-2010" xfId="772" xr:uid="{00000000-0005-0000-0000-000084030000}"/>
    <cellStyle name="_KT_TG_2_GTGT 2003" xfId="771" xr:uid="{00000000-0005-0000-0000-000085030000}"/>
    <cellStyle name="_KT_TG_2_KE KHAI THUE GTGT 2004" xfId="773" xr:uid="{00000000-0005-0000-0000-000086030000}"/>
    <cellStyle name="_KT_TG_2_KE KHAI THUE GTGT 2004 2" xfId="4396" xr:uid="{00000000-0005-0000-0000-000087030000}"/>
    <cellStyle name="_KT_TG_2_KE KHAI THUE GTGT 2004_BCTC2004" xfId="774" xr:uid="{00000000-0005-0000-0000-000088030000}"/>
    <cellStyle name="_KT_TG_2_KH TPCP 2016-2020 (tong hop)" xfId="776" xr:uid="{00000000-0005-0000-0000-000089030000}"/>
    <cellStyle name="_KT_TG_2_KH TPCP vung TNB (03-1-2012)" xfId="777" xr:uid="{00000000-0005-0000-0000-00008A030000}"/>
    <cellStyle name="_KT_TG_2_kien giang 2" xfId="775" xr:uid="{00000000-0005-0000-0000-00008B030000}"/>
    <cellStyle name="_KT_TG_2_Lora-tungchau" xfId="778" xr:uid="{00000000-0005-0000-0000-00008C030000}"/>
    <cellStyle name="_KT_TG_2_Luy ke von ung nam 2011 -Thoa gui ngay 12-8-2012" xfId="779" xr:uid="{00000000-0005-0000-0000-00008D030000}"/>
    <cellStyle name="_KT_TG_2_Luy ke von ung nam 2011 -Thoa gui ngay 12-8-2012 2" xfId="4397" xr:uid="{00000000-0005-0000-0000-00008E030000}"/>
    <cellStyle name="_KT_TG_2_NhanCong" xfId="781" xr:uid="{00000000-0005-0000-0000-00008F030000}"/>
    <cellStyle name="_KT_TG_2_N-X-T-04" xfId="780" xr:uid="{00000000-0005-0000-0000-000090030000}"/>
    <cellStyle name="_KT_TG_2_PGIA-phieu tham tra Kho bac" xfId="782" xr:uid="{00000000-0005-0000-0000-000091030000}"/>
    <cellStyle name="_KT_TG_2_phu luc tong ket tinh hinh TH giai doan 03-10 (ngay 30)" xfId="787" xr:uid="{00000000-0005-0000-0000-000092030000}"/>
    <cellStyle name="_KT_TG_2_phu luc tong ket tinh hinh TH giai doan 03-10 (ngay 30) 2" xfId="4398" xr:uid="{00000000-0005-0000-0000-000093030000}"/>
    <cellStyle name="_KT_TG_2_PT02-02" xfId="783" xr:uid="{00000000-0005-0000-0000-000094030000}"/>
    <cellStyle name="_KT_TG_2_PT02-02_Book1" xfId="784" xr:uid="{00000000-0005-0000-0000-000095030000}"/>
    <cellStyle name="_KT_TG_2_PT02-03" xfId="785" xr:uid="{00000000-0005-0000-0000-000096030000}"/>
    <cellStyle name="_KT_TG_2_PT02-03_Book1" xfId="786" xr:uid="{00000000-0005-0000-0000-000097030000}"/>
    <cellStyle name="_KT_TG_2_Qt-HT3PQ1(CauKho)" xfId="788" xr:uid="{00000000-0005-0000-0000-000098030000}"/>
    <cellStyle name="_KT_TG_2_Sheet1" xfId="789" xr:uid="{00000000-0005-0000-0000-000099030000}"/>
    <cellStyle name="_KT_TG_2_TK152-04" xfId="790" xr:uid="{00000000-0005-0000-0000-00009A030000}"/>
    <cellStyle name="_KT_TG_2_ÿÿÿÿÿ" xfId="791" xr:uid="{00000000-0005-0000-0000-00009B030000}"/>
    <cellStyle name="_KT_TG_2_ÿÿÿÿÿ 2" xfId="4399" xr:uid="{00000000-0005-0000-0000-00009C030000}"/>
    <cellStyle name="_KT_TG_2_ÿÿÿÿÿ_Bieu mau cong trinh khoi cong moi 3-4" xfId="792" xr:uid="{00000000-0005-0000-0000-00009D030000}"/>
    <cellStyle name="_KT_TG_2_ÿÿÿÿÿ_Bieu mau cong trinh khoi cong moi 3-4 2" xfId="4400" xr:uid="{00000000-0005-0000-0000-00009E030000}"/>
    <cellStyle name="_KT_TG_2_ÿÿÿÿÿ_Bieu3ODA" xfId="793" xr:uid="{00000000-0005-0000-0000-00009F030000}"/>
    <cellStyle name="_KT_TG_2_ÿÿÿÿÿ_Bieu3ODA 2" xfId="4401" xr:uid="{00000000-0005-0000-0000-0000A0030000}"/>
    <cellStyle name="_KT_TG_2_ÿÿÿÿÿ_Bieu4HTMT" xfId="794" xr:uid="{00000000-0005-0000-0000-0000A1030000}"/>
    <cellStyle name="_KT_TG_2_ÿÿÿÿÿ_Bieu4HTMT 2" xfId="4402" xr:uid="{00000000-0005-0000-0000-0000A2030000}"/>
    <cellStyle name="_KT_TG_2_ÿÿÿÿÿ_KH TPCP vung TNB (03-1-2012)" xfId="796" xr:uid="{00000000-0005-0000-0000-0000A3030000}"/>
    <cellStyle name="_KT_TG_2_ÿÿÿÿÿ_kien giang 2" xfId="795" xr:uid="{00000000-0005-0000-0000-0000A4030000}"/>
    <cellStyle name="_KT_TG_3" xfId="797" xr:uid="{00000000-0005-0000-0000-0000A5030000}"/>
    <cellStyle name="_KT_TG_4" xfId="798" xr:uid="{00000000-0005-0000-0000-0000A6030000}"/>
    <cellStyle name="_KT_TG_4 2" xfId="799" xr:uid="{00000000-0005-0000-0000-0000A7030000}"/>
    <cellStyle name="_KT_TG_4_05-12  KH trung han 2016-2020 - Liem Thinh edited" xfId="800" xr:uid="{00000000-0005-0000-0000-0000A8030000}"/>
    <cellStyle name="_KT_TG_4_Copy of 05-12  KH trung han 2016-2020 - Liem Thinh edited (1)" xfId="801" xr:uid="{00000000-0005-0000-0000-0000A9030000}"/>
    <cellStyle name="_KT_TG_4_KH TPCP 2016-2020 (tong hop)" xfId="802" xr:uid="{00000000-0005-0000-0000-0000AA030000}"/>
    <cellStyle name="_KT_TG_4_Lora-tungchau" xfId="803" xr:uid="{00000000-0005-0000-0000-0000AB030000}"/>
    <cellStyle name="_KT_TG_4_Lora-tungchau 2" xfId="804" xr:uid="{00000000-0005-0000-0000-0000AC030000}"/>
    <cellStyle name="_KT_TG_4_Lora-tungchau_05-12  KH trung han 2016-2020 - Liem Thinh edited" xfId="805" xr:uid="{00000000-0005-0000-0000-0000AD030000}"/>
    <cellStyle name="_KT_TG_4_Lora-tungchau_Copy of 05-12  KH trung han 2016-2020 - Liem Thinh edited (1)" xfId="806" xr:uid="{00000000-0005-0000-0000-0000AE030000}"/>
    <cellStyle name="_KT_TG_4_Lora-tungchau_KH TPCP 2016-2020 (tong hop)" xfId="807" xr:uid="{00000000-0005-0000-0000-0000AF030000}"/>
    <cellStyle name="_KT_TG_4_Qt-HT3PQ1(CauKho)" xfId="808" xr:uid="{00000000-0005-0000-0000-0000B0030000}"/>
    <cellStyle name="_Lora-tungchau" xfId="838" xr:uid="{00000000-0005-0000-0000-0000B1030000}"/>
    <cellStyle name="_Lora-tungchau 2" xfId="839" xr:uid="{00000000-0005-0000-0000-0000B2030000}"/>
    <cellStyle name="_Lora-tungchau_05-12  KH trung han 2016-2020 - Liem Thinh edited" xfId="840" xr:uid="{00000000-0005-0000-0000-0000B3030000}"/>
    <cellStyle name="_Lora-tungchau_Copy of 05-12  KH trung han 2016-2020 - Liem Thinh edited (1)" xfId="841" xr:uid="{00000000-0005-0000-0000-0000B4030000}"/>
    <cellStyle name="_Lora-tungchau_KH TPCP 2016-2020 (tong hop)" xfId="842" xr:uid="{00000000-0005-0000-0000-0000B5030000}"/>
    <cellStyle name="_Luy ke von ung nam 2011 -Thoa gui ngay 12-8-2012" xfId="843" xr:uid="{00000000-0005-0000-0000-0000B6030000}"/>
    <cellStyle name="_mau so 3" xfId="844" xr:uid="{00000000-0005-0000-0000-0000B7030000}"/>
    <cellStyle name="_MauThanTKKT-goi7-DonGia2143(vl t7)" xfId="845" xr:uid="{00000000-0005-0000-0000-0000B8030000}"/>
    <cellStyle name="_MauThanTKKT-goi7-DonGia2143(vl t7)_!1 1 bao cao giao KH ve HTCMT vung TNB   12-12-2011" xfId="846" xr:uid="{00000000-0005-0000-0000-0000B9030000}"/>
    <cellStyle name="_MauThanTKKT-goi7-DonGia2143(vl t7)_Bieu4HTMT" xfId="847" xr:uid="{00000000-0005-0000-0000-0000BA030000}"/>
    <cellStyle name="_MauThanTKKT-goi7-DonGia2143(vl t7)_Bieu4HTMT_!1 1 bao cao giao KH ve HTCMT vung TNB   12-12-2011" xfId="848" xr:uid="{00000000-0005-0000-0000-0000BB030000}"/>
    <cellStyle name="_MauThanTKKT-goi7-DonGia2143(vl t7)_Bieu4HTMT_KH TPCP vung TNB (03-1-2012)" xfId="849" xr:uid="{00000000-0005-0000-0000-0000BC030000}"/>
    <cellStyle name="_MauThanTKKT-goi7-DonGia2143(vl t7)_KH TPCP vung TNB (03-1-2012)" xfId="850" xr:uid="{00000000-0005-0000-0000-0000BD030000}"/>
    <cellStyle name="_Nhu cau von ung truoc 2011 Tha h Hoa + Nge An gui TW" xfId="852" xr:uid="{00000000-0005-0000-0000-0000BE030000}"/>
    <cellStyle name="_Nhu cau von ung truoc 2011 Tha h Hoa + Nge An gui TW_!1 1 bao cao giao KH ve HTCMT vung TNB   12-12-2011" xfId="853" xr:uid="{00000000-0005-0000-0000-0000BF030000}"/>
    <cellStyle name="_Nhu cau von ung truoc 2011 Tha h Hoa + Nge An gui TW_Bieu4HTMT" xfId="854" xr:uid="{00000000-0005-0000-0000-0000C0030000}"/>
    <cellStyle name="_Nhu cau von ung truoc 2011 Tha h Hoa + Nge An gui TW_Bieu4HTMT_!1 1 bao cao giao KH ve HTCMT vung TNB   12-12-2011" xfId="855" xr:uid="{00000000-0005-0000-0000-0000C1030000}"/>
    <cellStyle name="_Nhu cau von ung truoc 2011 Tha h Hoa + Nge An gui TW_Bieu4HTMT_KH TPCP vung TNB (03-1-2012)" xfId="856" xr:uid="{00000000-0005-0000-0000-0000C2030000}"/>
    <cellStyle name="_Nhu cau von ung truoc 2011 Tha h Hoa + Nge An gui TW_KH TPCP vung TNB (03-1-2012)" xfId="857" xr:uid="{00000000-0005-0000-0000-0000C3030000}"/>
    <cellStyle name="_N-X-T-04" xfId="851" xr:uid="{00000000-0005-0000-0000-0000C4030000}"/>
    <cellStyle name="_PERSONAL" xfId="858" xr:uid="{00000000-0005-0000-0000-0000C5030000}"/>
    <cellStyle name="_PERSONAL_BC CV 6403 BKHĐT" xfId="859" xr:uid="{00000000-0005-0000-0000-0000C6030000}"/>
    <cellStyle name="_PERSONAL_Bieu mau cong trinh khoi cong moi 3-4" xfId="860" xr:uid="{00000000-0005-0000-0000-0000C7030000}"/>
    <cellStyle name="_PERSONAL_Bieu3ODA" xfId="861" xr:uid="{00000000-0005-0000-0000-0000C8030000}"/>
    <cellStyle name="_PERSONAL_Bieu4HTMT" xfId="862" xr:uid="{00000000-0005-0000-0000-0000C9030000}"/>
    <cellStyle name="_PERSONAL_Book1" xfId="863" xr:uid="{00000000-0005-0000-0000-0000CA030000}"/>
    <cellStyle name="_PERSONAL_Book1 2" xfId="864" xr:uid="{00000000-0005-0000-0000-0000CB030000}"/>
    <cellStyle name="_PERSONAL_HTQ.8 GD1" xfId="865" xr:uid="{00000000-0005-0000-0000-0000CC030000}"/>
    <cellStyle name="_PERSONAL_HTQ.8 GD1_05-12  KH trung han 2016-2020 - Liem Thinh edited" xfId="866" xr:uid="{00000000-0005-0000-0000-0000CD030000}"/>
    <cellStyle name="_PERSONAL_HTQ.8 GD1_Copy of 05-12  KH trung han 2016-2020 - Liem Thinh edited (1)" xfId="867" xr:uid="{00000000-0005-0000-0000-0000CE030000}"/>
    <cellStyle name="_PERSONAL_HTQ.8 GD1_KH TPCP 2016-2020 (tong hop)" xfId="868" xr:uid="{00000000-0005-0000-0000-0000CF030000}"/>
    <cellStyle name="_PERSONAL_Luy ke von ung nam 2011 -Thoa gui ngay 12-8-2012" xfId="869" xr:uid="{00000000-0005-0000-0000-0000D0030000}"/>
    <cellStyle name="_PERSONAL_Tong hop KHCB 2001" xfId="870" xr:uid="{00000000-0005-0000-0000-0000D1030000}"/>
    <cellStyle name="_Phan bo KH 2009 TPCP" xfId="871" xr:uid="{00000000-0005-0000-0000-0000D2030000}"/>
    <cellStyle name="_phong bo mon22" xfId="872" xr:uid="{00000000-0005-0000-0000-0000D3030000}"/>
    <cellStyle name="_phong bo mon22_!1 1 bao cao giao KH ve HTCMT vung TNB   12-12-2011" xfId="873" xr:uid="{00000000-0005-0000-0000-0000D4030000}"/>
    <cellStyle name="_phong bo mon22_KH TPCP vung TNB (03-1-2012)" xfId="874" xr:uid="{00000000-0005-0000-0000-0000D5030000}"/>
    <cellStyle name="_Phu luc 2 (Bieu 2) TH KH 2010" xfId="875" xr:uid="{00000000-0005-0000-0000-0000D6030000}"/>
    <cellStyle name="_phu luc tong ket tinh hinh TH giai doan 03-10 (ngay 30)" xfId="876" xr:uid="{00000000-0005-0000-0000-0000D7030000}"/>
    <cellStyle name="_Phuluckinhphi_DC_lan 4_YL" xfId="877" xr:uid="{00000000-0005-0000-0000-0000D8030000}"/>
    <cellStyle name="_Q TOAN  SCTX QL.62 QUI I ( oanh)" xfId="878" xr:uid="{00000000-0005-0000-0000-0000D9030000}"/>
    <cellStyle name="_Q TOAN  SCTX QL.62 QUI II ( oanh)" xfId="879" xr:uid="{00000000-0005-0000-0000-0000DA030000}"/>
    <cellStyle name="_QT SCTXQL62_QT1 (Cty QL)" xfId="880" xr:uid="{00000000-0005-0000-0000-0000DB030000}"/>
    <cellStyle name="_Qt-HT3PQ1(CauKho)" xfId="881" xr:uid="{00000000-0005-0000-0000-0000DC030000}"/>
    <cellStyle name="_Sheet1" xfId="882" xr:uid="{00000000-0005-0000-0000-0000DD030000}"/>
    <cellStyle name="_Sheet2" xfId="883" xr:uid="{00000000-0005-0000-0000-0000DE030000}"/>
    <cellStyle name="_TG-TH" xfId="884" xr:uid="{00000000-0005-0000-0000-0000DF030000}"/>
    <cellStyle name="_TG-TH_1" xfId="885" xr:uid="{00000000-0005-0000-0000-0000E0030000}"/>
    <cellStyle name="_TG-TH_1 2" xfId="886" xr:uid="{00000000-0005-0000-0000-0000E1030000}"/>
    <cellStyle name="_TG-TH_1_05-12  KH trung han 2016-2020 - Liem Thinh edited" xfId="887" xr:uid="{00000000-0005-0000-0000-0000E2030000}"/>
    <cellStyle name="_TG-TH_1_ApGiaVatTu_cayxanh_latgach" xfId="888" xr:uid="{00000000-0005-0000-0000-0000E3030000}"/>
    <cellStyle name="_TG-TH_1_BANG TONG HOP TINH HINH THANH QUYET TOAN (MOI I)" xfId="889" xr:uid="{00000000-0005-0000-0000-0000E4030000}"/>
    <cellStyle name="_TG-TH_1_BANG TONG HOP TINH HINH THANH QUYET TOAN (MOI I) 2" xfId="4403" xr:uid="{00000000-0005-0000-0000-0000E5030000}"/>
    <cellStyle name="_TG-TH_1_BAO CAO KLCT PT2000" xfId="890" xr:uid="{00000000-0005-0000-0000-0000E6030000}"/>
    <cellStyle name="_TG-TH_1_BAO CAO PT2000" xfId="891" xr:uid="{00000000-0005-0000-0000-0000E7030000}"/>
    <cellStyle name="_TG-TH_1_BAO CAO PT2000_Book1" xfId="892" xr:uid="{00000000-0005-0000-0000-0000E8030000}"/>
    <cellStyle name="_TG-TH_1_Bao cao XDCB 2001 - T11 KH dieu chinh 20-11-THAI" xfId="893" xr:uid="{00000000-0005-0000-0000-0000E9030000}"/>
    <cellStyle name="_TG-TH_1_BAO GIA NGAY 24-10-08 (co dam)" xfId="894" xr:uid="{00000000-0005-0000-0000-0000EA030000}"/>
    <cellStyle name="_TG-TH_1_BAO GIA NGAY 24-10-08 (co dam) 2" xfId="4404" xr:uid="{00000000-0005-0000-0000-0000EB030000}"/>
    <cellStyle name="_TG-TH_1_BC  NAM 2007" xfId="895" xr:uid="{00000000-0005-0000-0000-0000EC030000}"/>
    <cellStyle name="_TG-TH_1_BC CV 6403 BKHĐT" xfId="896" xr:uid="{00000000-0005-0000-0000-0000ED030000}"/>
    <cellStyle name="_TG-TH_1_BC CV 6403 BKHĐT 2" xfId="4405" xr:uid="{00000000-0005-0000-0000-0000EE030000}"/>
    <cellStyle name="_TG-TH_1_BC NQ11-CP - chinh sua lai" xfId="897" xr:uid="{00000000-0005-0000-0000-0000EF030000}"/>
    <cellStyle name="_TG-TH_1_BC NQ11-CP-Quynh sau bieu so3" xfId="898" xr:uid="{00000000-0005-0000-0000-0000F0030000}"/>
    <cellStyle name="_TG-TH_1_BC_NQ11-CP_-_Thao_sua_lai" xfId="899" xr:uid="{00000000-0005-0000-0000-0000F1030000}"/>
    <cellStyle name="_TG-TH_1_Bieu mau cong trinh khoi cong moi 3-4" xfId="900" xr:uid="{00000000-0005-0000-0000-0000F2030000}"/>
    <cellStyle name="_TG-TH_1_Bieu mau cong trinh khoi cong moi 3-4 2" xfId="4406" xr:uid="{00000000-0005-0000-0000-0000F3030000}"/>
    <cellStyle name="_TG-TH_1_Bieu3ODA" xfId="901" xr:uid="{00000000-0005-0000-0000-0000F4030000}"/>
    <cellStyle name="_TG-TH_1_Bieu3ODA_1" xfId="902" xr:uid="{00000000-0005-0000-0000-0000F5030000}"/>
    <cellStyle name="_TG-TH_1_Bieu4HTMT" xfId="903" xr:uid="{00000000-0005-0000-0000-0000F6030000}"/>
    <cellStyle name="_TG-TH_1_Bieu4HTMT 2" xfId="4407" xr:uid="{00000000-0005-0000-0000-0000F7030000}"/>
    <cellStyle name="_TG-TH_1_bo sung von KCH nam 2010 va Du an tre kho khan" xfId="904" xr:uid="{00000000-0005-0000-0000-0000F8030000}"/>
    <cellStyle name="_TG-TH_1_bo sung von KCH nam 2010 va Du an tre kho khan 2" xfId="4408" xr:uid="{00000000-0005-0000-0000-0000F9030000}"/>
    <cellStyle name="_TG-TH_1_Book1" xfId="905" xr:uid="{00000000-0005-0000-0000-0000FA030000}"/>
    <cellStyle name="_TG-TH_1_Book1 2" xfId="906" xr:uid="{00000000-0005-0000-0000-0000FB030000}"/>
    <cellStyle name="_TG-TH_1_Book1_1" xfId="907" xr:uid="{00000000-0005-0000-0000-0000FC030000}"/>
    <cellStyle name="_TG-TH_1_Book1_1 2" xfId="908" xr:uid="{00000000-0005-0000-0000-0000FD030000}"/>
    <cellStyle name="_TG-TH_1_Book1_1 3" xfId="4409" xr:uid="{00000000-0005-0000-0000-0000FE030000}"/>
    <cellStyle name="_TG-TH_1_Book1_1_BC CV 6403 BKHĐT" xfId="909" xr:uid="{00000000-0005-0000-0000-0000FF030000}"/>
    <cellStyle name="_TG-TH_1_Book1_1_BC CV 6403 BKHĐT 2" xfId="4410" xr:uid="{00000000-0005-0000-0000-000000040000}"/>
    <cellStyle name="_TG-TH_1_Book1_1_Bieu mau cong trinh khoi cong moi 3-4" xfId="910" xr:uid="{00000000-0005-0000-0000-000001040000}"/>
    <cellStyle name="_TG-TH_1_Book1_1_Bieu mau cong trinh khoi cong moi 3-4 2" xfId="4411" xr:uid="{00000000-0005-0000-0000-000002040000}"/>
    <cellStyle name="_TG-TH_1_Book1_1_Bieu3ODA" xfId="911" xr:uid="{00000000-0005-0000-0000-000003040000}"/>
    <cellStyle name="_TG-TH_1_Book1_1_Bieu3ODA 2" xfId="4412" xr:uid="{00000000-0005-0000-0000-000004040000}"/>
    <cellStyle name="_TG-TH_1_Book1_1_Bieu4HTMT" xfId="912" xr:uid="{00000000-0005-0000-0000-000005040000}"/>
    <cellStyle name="_TG-TH_1_Book1_1_Bieu4HTMT 2" xfId="4413" xr:uid="{00000000-0005-0000-0000-000006040000}"/>
    <cellStyle name="_TG-TH_1_Book1_1_Book1" xfId="913" xr:uid="{00000000-0005-0000-0000-000007040000}"/>
    <cellStyle name="_TG-TH_1_Book1_1_Luy ke von ung nam 2011 -Thoa gui ngay 12-8-2012" xfId="914" xr:uid="{00000000-0005-0000-0000-000008040000}"/>
    <cellStyle name="_TG-TH_1_Book1_1_Luy ke von ung nam 2011 -Thoa gui ngay 12-8-2012 2" xfId="4414" xr:uid="{00000000-0005-0000-0000-000009040000}"/>
    <cellStyle name="_TG-TH_1_Book1_2" xfId="915" xr:uid="{00000000-0005-0000-0000-00000A040000}"/>
    <cellStyle name="_TG-TH_1_Book1_2 2" xfId="916" xr:uid="{00000000-0005-0000-0000-00000B040000}"/>
    <cellStyle name="_TG-TH_1_Book1_2_BC CV 6403 BKHĐT" xfId="917" xr:uid="{00000000-0005-0000-0000-00000C040000}"/>
    <cellStyle name="_TG-TH_1_Book1_2_Bieu3ODA" xfId="918" xr:uid="{00000000-0005-0000-0000-00000D040000}"/>
    <cellStyle name="_TG-TH_1_Book1_2_Luy ke von ung nam 2011 -Thoa gui ngay 12-8-2012" xfId="919" xr:uid="{00000000-0005-0000-0000-00000E040000}"/>
    <cellStyle name="_TG-TH_1_Book1_3" xfId="920" xr:uid="{00000000-0005-0000-0000-00000F040000}"/>
    <cellStyle name="_TG-TH_1_Book1_BC CV 6403 BKHĐT" xfId="921" xr:uid="{00000000-0005-0000-0000-000010040000}"/>
    <cellStyle name="_TG-TH_1_Book1_BC-QT-WB-dthao" xfId="922" xr:uid="{00000000-0005-0000-0000-000011040000}"/>
    <cellStyle name="_TG-TH_1_Book1_Bieu mau cong trinh khoi cong moi 3-4" xfId="923" xr:uid="{00000000-0005-0000-0000-000012040000}"/>
    <cellStyle name="_TG-TH_1_Book1_Bieu3ODA" xfId="924" xr:uid="{00000000-0005-0000-0000-000013040000}"/>
    <cellStyle name="_TG-TH_1_Book1_Bieu4HTMT" xfId="925" xr:uid="{00000000-0005-0000-0000-000014040000}"/>
    <cellStyle name="_TG-TH_1_Book1_bo sung von KCH nam 2010 va Du an tre kho khan" xfId="926" xr:uid="{00000000-0005-0000-0000-000015040000}"/>
    <cellStyle name="_TG-TH_1_Book1_Book1" xfId="927" xr:uid="{00000000-0005-0000-0000-000016040000}"/>
    <cellStyle name="_TG-TH_1_Book1_danh muc chuan bi dau tu 2011 ngay 07-6-2011" xfId="928" xr:uid="{00000000-0005-0000-0000-000017040000}"/>
    <cellStyle name="_TG-TH_1_Book1_Danh muc pbo nguon von XSKT, XDCB nam 2009 chuyen qua nam 2010" xfId="929" xr:uid="{00000000-0005-0000-0000-000018040000}"/>
    <cellStyle name="_TG-TH_1_Book1_dieu chinh KH 2011 ngay 26-5-2011111" xfId="930" xr:uid="{00000000-0005-0000-0000-000019040000}"/>
    <cellStyle name="_TG-TH_1_Book1_DS KCH PHAN BO VON NSDP NAM 2010" xfId="931" xr:uid="{00000000-0005-0000-0000-00001A040000}"/>
    <cellStyle name="_TG-TH_1_Book1_giao KH 2011 ngay 10-12-2010" xfId="932" xr:uid="{00000000-0005-0000-0000-00001B040000}"/>
    <cellStyle name="_TG-TH_1_Book1_Luy ke von ung nam 2011 -Thoa gui ngay 12-8-2012" xfId="933" xr:uid="{00000000-0005-0000-0000-00001C040000}"/>
    <cellStyle name="_TG-TH_1_CAU Khanh Nam(Thi Cong)" xfId="934" xr:uid="{00000000-0005-0000-0000-00001D040000}"/>
    <cellStyle name="_TG-TH_1_CAU Khanh Nam(Thi Cong) 2" xfId="4415" xr:uid="{00000000-0005-0000-0000-00001E040000}"/>
    <cellStyle name="_TG-TH_1_ChiHuong_ApGia" xfId="937" xr:uid="{00000000-0005-0000-0000-00001F040000}"/>
    <cellStyle name="_TG-TH_1_ChiHuong_ApGia 2" xfId="4416" xr:uid="{00000000-0005-0000-0000-000020040000}"/>
    <cellStyle name="_TG-TH_1_CoCauPhi (version 1)" xfId="935" xr:uid="{00000000-0005-0000-0000-000021040000}"/>
    <cellStyle name="_TG-TH_1_Copy of 05-12  KH trung han 2016-2020 - Liem Thinh edited (1)" xfId="936" xr:uid="{00000000-0005-0000-0000-000022040000}"/>
    <cellStyle name="_TG-TH_1_danh muc chuan bi dau tu 2011 ngay 07-6-2011" xfId="938" xr:uid="{00000000-0005-0000-0000-000023040000}"/>
    <cellStyle name="_TG-TH_1_Danh muc pbo nguon von XSKT, XDCB nam 2009 chuyen qua nam 2010" xfId="939" xr:uid="{00000000-0005-0000-0000-000024040000}"/>
    <cellStyle name="_TG-TH_1_Danh muc pbo nguon von XSKT, XDCB nam 2009 chuyen qua nam 2010 2" xfId="4417" xr:uid="{00000000-0005-0000-0000-000025040000}"/>
    <cellStyle name="_TG-TH_1_DAU NOI PL-CL TAI PHU LAMHC" xfId="940" xr:uid="{00000000-0005-0000-0000-000026040000}"/>
    <cellStyle name="_TG-TH_1_dieu chinh KH 2011 ngay 26-5-2011111" xfId="941" xr:uid="{00000000-0005-0000-0000-000027040000}"/>
    <cellStyle name="_TG-TH_1_DS KCH PHAN BO VON NSDP NAM 2010" xfId="942" xr:uid="{00000000-0005-0000-0000-000028040000}"/>
    <cellStyle name="_TG-TH_1_DS KCH PHAN BO VON NSDP NAM 2010 2" xfId="4418" xr:uid="{00000000-0005-0000-0000-000029040000}"/>
    <cellStyle name="_TG-TH_1_DTCDT MR.2N110.HOCMON.TDTOAN.CCUNG" xfId="943" xr:uid="{00000000-0005-0000-0000-00002A040000}"/>
    <cellStyle name="_TG-TH_1_DU TRU VAT TU" xfId="944" xr:uid="{00000000-0005-0000-0000-00002B040000}"/>
    <cellStyle name="_TG-TH_1_DU TRU VAT TU 2" xfId="4419" xr:uid="{00000000-0005-0000-0000-00002C040000}"/>
    <cellStyle name="_TG-TH_1_giao KH 2011 ngay 10-12-2010" xfId="946" xr:uid="{00000000-0005-0000-0000-00002D040000}"/>
    <cellStyle name="_TG-TH_1_GTGT 2003" xfId="945" xr:uid="{00000000-0005-0000-0000-00002E040000}"/>
    <cellStyle name="_TG-TH_1_KE KHAI THUE GTGT 2004" xfId="947" xr:uid="{00000000-0005-0000-0000-00002F040000}"/>
    <cellStyle name="_TG-TH_1_KE KHAI THUE GTGT 2004 2" xfId="4420" xr:uid="{00000000-0005-0000-0000-000030040000}"/>
    <cellStyle name="_TG-TH_1_KE KHAI THUE GTGT 2004_BCTC2004" xfId="948" xr:uid="{00000000-0005-0000-0000-000031040000}"/>
    <cellStyle name="_TG-TH_1_KH TPCP 2016-2020 (tong hop)" xfId="950" xr:uid="{00000000-0005-0000-0000-000032040000}"/>
    <cellStyle name="_TG-TH_1_KH TPCP vung TNB (03-1-2012)" xfId="951" xr:uid="{00000000-0005-0000-0000-000033040000}"/>
    <cellStyle name="_TG-TH_1_kien giang 2" xfId="949" xr:uid="{00000000-0005-0000-0000-000034040000}"/>
    <cellStyle name="_TG-TH_1_Lora-tungchau" xfId="952" xr:uid="{00000000-0005-0000-0000-000035040000}"/>
    <cellStyle name="_TG-TH_1_Luy ke von ung nam 2011 -Thoa gui ngay 12-8-2012" xfId="953" xr:uid="{00000000-0005-0000-0000-000036040000}"/>
    <cellStyle name="_TG-TH_1_Luy ke von ung nam 2011 -Thoa gui ngay 12-8-2012 2" xfId="4421" xr:uid="{00000000-0005-0000-0000-000037040000}"/>
    <cellStyle name="_TG-TH_1_NhanCong" xfId="955" xr:uid="{00000000-0005-0000-0000-000038040000}"/>
    <cellStyle name="_TG-TH_1_N-X-T-04" xfId="954" xr:uid="{00000000-0005-0000-0000-000039040000}"/>
    <cellStyle name="_TG-TH_1_PGIA-phieu tham tra Kho bac" xfId="956" xr:uid="{00000000-0005-0000-0000-00003A040000}"/>
    <cellStyle name="_TG-TH_1_phu luc tong ket tinh hinh TH giai doan 03-10 (ngay 30)" xfId="961" xr:uid="{00000000-0005-0000-0000-00003B040000}"/>
    <cellStyle name="_TG-TH_1_phu luc tong ket tinh hinh TH giai doan 03-10 (ngay 30) 2" xfId="4422" xr:uid="{00000000-0005-0000-0000-00003C040000}"/>
    <cellStyle name="_TG-TH_1_PT02-02" xfId="957" xr:uid="{00000000-0005-0000-0000-00003D040000}"/>
    <cellStyle name="_TG-TH_1_PT02-02_Book1" xfId="958" xr:uid="{00000000-0005-0000-0000-00003E040000}"/>
    <cellStyle name="_TG-TH_1_PT02-03" xfId="959" xr:uid="{00000000-0005-0000-0000-00003F040000}"/>
    <cellStyle name="_TG-TH_1_PT02-03_Book1" xfId="960" xr:uid="{00000000-0005-0000-0000-000040040000}"/>
    <cellStyle name="_TG-TH_1_Qt-HT3PQ1(CauKho)" xfId="962" xr:uid="{00000000-0005-0000-0000-000041040000}"/>
    <cellStyle name="_TG-TH_1_Sheet1" xfId="963" xr:uid="{00000000-0005-0000-0000-000042040000}"/>
    <cellStyle name="_TG-TH_1_TK152-04" xfId="964" xr:uid="{00000000-0005-0000-0000-000043040000}"/>
    <cellStyle name="_TG-TH_1_ÿÿÿÿÿ" xfId="965" xr:uid="{00000000-0005-0000-0000-000044040000}"/>
    <cellStyle name="_TG-TH_1_ÿÿÿÿÿ 2" xfId="4423" xr:uid="{00000000-0005-0000-0000-000045040000}"/>
    <cellStyle name="_TG-TH_1_ÿÿÿÿÿ_Bieu mau cong trinh khoi cong moi 3-4" xfId="966" xr:uid="{00000000-0005-0000-0000-000046040000}"/>
    <cellStyle name="_TG-TH_1_ÿÿÿÿÿ_Bieu mau cong trinh khoi cong moi 3-4 2" xfId="4424" xr:uid="{00000000-0005-0000-0000-000047040000}"/>
    <cellStyle name="_TG-TH_1_ÿÿÿÿÿ_Bieu3ODA" xfId="967" xr:uid="{00000000-0005-0000-0000-000048040000}"/>
    <cellStyle name="_TG-TH_1_ÿÿÿÿÿ_Bieu3ODA 2" xfId="4425" xr:uid="{00000000-0005-0000-0000-000049040000}"/>
    <cellStyle name="_TG-TH_1_ÿÿÿÿÿ_Bieu4HTMT" xfId="968" xr:uid="{00000000-0005-0000-0000-00004A040000}"/>
    <cellStyle name="_TG-TH_1_ÿÿÿÿÿ_Bieu4HTMT 2" xfId="4426" xr:uid="{00000000-0005-0000-0000-00004B040000}"/>
    <cellStyle name="_TG-TH_1_ÿÿÿÿÿ_KH TPCP vung TNB (03-1-2012)" xfId="970" xr:uid="{00000000-0005-0000-0000-00004C040000}"/>
    <cellStyle name="_TG-TH_1_ÿÿÿÿÿ_kien giang 2" xfId="969" xr:uid="{00000000-0005-0000-0000-00004D040000}"/>
    <cellStyle name="_TG-TH_2" xfId="971" xr:uid="{00000000-0005-0000-0000-00004E040000}"/>
    <cellStyle name="_TG-TH_2 2" xfId="972" xr:uid="{00000000-0005-0000-0000-00004F040000}"/>
    <cellStyle name="_TG-TH_2_05-12  KH trung han 2016-2020 - Liem Thinh edited" xfId="973" xr:uid="{00000000-0005-0000-0000-000050040000}"/>
    <cellStyle name="_TG-TH_2_ApGiaVatTu_cayxanh_latgach" xfId="974" xr:uid="{00000000-0005-0000-0000-000051040000}"/>
    <cellStyle name="_TG-TH_2_BANG TONG HOP TINH HINH THANH QUYET TOAN (MOI I)" xfId="975" xr:uid="{00000000-0005-0000-0000-000052040000}"/>
    <cellStyle name="_TG-TH_2_BANG TONG HOP TINH HINH THANH QUYET TOAN (MOI I) 2" xfId="4427" xr:uid="{00000000-0005-0000-0000-000053040000}"/>
    <cellStyle name="_TG-TH_2_BAO CAO KLCT PT2000" xfId="976" xr:uid="{00000000-0005-0000-0000-000054040000}"/>
    <cellStyle name="_TG-TH_2_BAO CAO PT2000" xfId="977" xr:uid="{00000000-0005-0000-0000-000055040000}"/>
    <cellStyle name="_TG-TH_2_BAO CAO PT2000_Book1" xfId="978" xr:uid="{00000000-0005-0000-0000-000056040000}"/>
    <cellStyle name="_TG-TH_2_Bao cao XDCB 2001 - T11 KH dieu chinh 20-11-THAI" xfId="979" xr:uid="{00000000-0005-0000-0000-000057040000}"/>
    <cellStyle name="_TG-TH_2_BAO GIA NGAY 24-10-08 (co dam)" xfId="980" xr:uid="{00000000-0005-0000-0000-000058040000}"/>
    <cellStyle name="_TG-TH_2_BAO GIA NGAY 24-10-08 (co dam) 2" xfId="4428" xr:uid="{00000000-0005-0000-0000-000059040000}"/>
    <cellStyle name="_TG-TH_2_BC  NAM 2007" xfId="981" xr:uid="{00000000-0005-0000-0000-00005A040000}"/>
    <cellStyle name="_TG-TH_2_BC CV 6403 BKHĐT" xfId="982" xr:uid="{00000000-0005-0000-0000-00005B040000}"/>
    <cellStyle name="_TG-TH_2_BC CV 6403 BKHĐT 2" xfId="4429" xr:uid="{00000000-0005-0000-0000-00005C040000}"/>
    <cellStyle name="_TG-TH_2_BC NQ11-CP - chinh sua lai" xfId="983" xr:uid="{00000000-0005-0000-0000-00005D040000}"/>
    <cellStyle name="_TG-TH_2_BC NQ11-CP-Quynh sau bieu so3" xfId="984" xr:uid="{00000000-0005-0000-0000-00005E040000}"/>
    <cellStyle name="_TG-TH_2_BC_NQ11-CP_-_Thao_sua_lai" xfId="985" xr:uid="{00000000-0005-0000-0000-00005F040000}"/>
    <cellStyle name="_TG-TH_2_Bieu mau cong trinh khoi cong moi 3-4" xfId="986" xr:uid="{00000000-0005-0000-0000-000060040000}"/>
    <cellStyle name="_TG-TH_2_Bieu mau cong trinh khoi cong moi 3-4 2" xfId="4430" xr:uid="{00000000-0005-0000-0000-000061040000}"/>
    <cellStyle name="_TG-TH_2_Bieu3ODA" xfId="987" xr:uid="{00000000-0005-0000-0000-000062040000}"/>
    <cellStyle name="_TG-TH_2_Bieu3ODA_1" xfId="988" xr:uid="{00000000-0005-0000-0000-000063040000}"/>
    <cellStyle name="_TG-TH_2_Bieu4HTMT" xfId="989" xr:uid="{00000000-0005-0000-0000-000064040000}"/>
    <cellStyle name="_TG-TH_2_Bieu4HTMT 2" xfId="4431" xr:uid="{00000000-0005-0000-0000-000065040000}"/>
    <cellStyle name="_TG-TH_2_bo sung von KCH nam 2010 va Du an tre kho khan" xfId="990" xr:uid="{00000000-0005-0000-0000-000066040000}"/>
    <cellStyle name="_TG-TH_2_bo sung von KCH nam 2010 va Du an tre kho khan 2" xfId="4432" xr:uid="{00000000-0005-0000-0000-000067040000}"/>
    <cellStyle name="_TG-TH_2_Book1" xfId="991" xr:uid="{00000000-0005-0000-0000-000068040000}"/>
    <cellStyle name="_TG-TH_2_Book1 2" xfId="992" xr:uid="{00000000-0005-0000-0000-000069040000}"/>
    <cellStyle name="_TG-TH_2_Book1_1" xfId="993" xr:uid="{00000000-0005-0000-0000-00006A040000}"/>
    <cellStyle name="_TG-TH_2_Book1_1 2" xfId="994" xr:uid="{00000000-0005-0000-0000-00006B040000}"/>
    <cellStyle name="_TG-TH_2_Book1_1 3" xfId="4433" xr:uid="{00000000-0005-0000-0000-00006C040000}"/>
    <cellStyle name="_TG-TH_2_Book1_1_BC CV 6403 BKHĐT" xfId="995" xr:uid="{00000000-0005-0000-0000-00006D040000}"/>
    <cellStyle name="_TG-TH_2_Book1_1_BC CV 6403 BKHĐT 2" xfId="4434" xr:uid="{00000000-0005-0000-0000-00006E040000}"/>
    <cellStyle name="_TG-TH_2_Book1_1_Bieu mau cong trinh khoi cong moi 3-4" xfId="996" xr:uid="{00000000-0005-0000-0000-00006F040000}"/>
    <cellStyle name="_TG-TH_2_Book1_1_Bieu mau cong trinh khoi cong moi 3-4 2" xfId="4435" xr:uid="{00000000-0005-0000-0000-000070040000}"/>
    <cellStyle name="_TG-TH_2_Book1_1_Bieu3ODA" xfId="997" xr:uid="{00000000-0005-0000-0000-000071040000}"/>
    <cellStyle name="_TG-TH_2_Book1_1_Bieu3ODA 2" xfId="4436" xr:uid="{00000000-0005-0000-0000-000072040000}"/>
    <cellStyle name="_TG-TH_2_Book1_1_Bieu4HTMT" xfId="998" xr:uid="{00000000-0005-0000-0000-000073040000}"/>
    <cellStyle name="_TG-TH_2_Book1_1_Bieu4HTMT 2" xfId="4437" xr:uid="{00000000-0005-0000-0000-000074040000}"/>
    <cellStyle name="_TG-TH_2_Book1_1_Book1" xfId="999" xr:uid="{00000000-0005-0000-0000-000075040000}"/>
    <cellStyle name="_TG-TH_2_Book1_1_Luy ke von ung nam 2011 -Thoa gui ngay 12-8-2012" xfId="1000" xr:uid="{00000000-0005-0000-0000-000076040000}"/>
    <cellStyle name="_TG-TH_2_Book1_1_Luy ke von ung nam 2011 -Thoa gui ngay 12-8-2012 2" xfId="4438" xr:uid="{00000000-0005-0000-0000-000077040000}"/>
    <cellStyle name="_TG-TH_2_Book1_2" xfId="1001" xr:uid="{00000000-0005-0000-0000-000078040000}"/>
    <cellStyle name="_TG-TH_2_Book1_2 2" xfId="1002" xr:uid="{00000000-0005-0000-0000-000079040000}"/>
    <cellStyle name="_TG-TH_2_Book1_2_BC CV 6403 BKHĐT" xfId="1003" xr:uid="{00000000-0005-0000-0000-00007A040000}"/>
    <cellStyle name="_TG-TH_2_Book1_2_Bieu3ODA" xfId="1004" xr:uid="{00000000-0005-0000-0000-00007B040000}"/>
    <cellStyle name="_TG-TH_2_Book1_2_Luy ke von ung nam 2011 -Thoa gui ngay 12-8-2012" xfId="1005" xr:uid="{00000000-0005-0000-0000-00007C040000}"/>
    <cellStyle name="_TG-TH_2_Book1_3" xfId="1006" xr:uid="{00000000-0005-0000-0000-00007D040000}"/>
    <cellStyle name="_TG-TH_2_Book1_3 2" xfId="1007" xr:uid="{00000000-0005-0000-0000-00007E040000}"/>
    <cellStyle name="_TG-TH_2_Book1_BC CV 6403 BKHĐT" xfId="1008" xr:uid="{00000000-0005-0000-0000-00007F040000}"/>
    <cellStyle name="_TG-TH_2_Book1_Bieu mau cong trinh khoi cong moi 3-4" xfId="1009" xr:uid="{00000000-0005-0000-0000-000080040000}"/>
    <cellStyle name="_TG-TH_2_Book1_Bieu3ODA" xfId="1010" xr:uid="{00000000-0005-0000-0000-000081040000}"/>
    <cellStyle name="_TG-TH_2_Book1_Bieu4HTMT" xfId="1011" xr:uid="{00000000-0005-0000-0000-000082040000}"/>
    <cellStyle name="_TG-TH_2_Book1_bo sung von KCH nam 2010 va Du an tre kho khan" xfId="1012" xr:uid="{00000000-0005-0000-0000-000083040000}"/>
    <cellStyle name="_TG-TH_2_Book1_Book1" xfId="1013" xr:uid="{00000000-0005-0000-0000-000084040000}"/>
    <cellStyle name="_TG-TH_2_Book1_danh muc chuan bi dau tu 2011 ngay 07-6-2011" xfId="1014" xr:uid="{00000000-0005-0000-0000-000085040000}"/>
    <cellStyle name="_TG-TH_2_Book1_Danh muc pbo nguon von XSKT, XDCB nam 2009 chuyen qua nam 2010" xfId="1015" xr:uid="{00000000-0005-0000-0000-000086040000}"/>
    <cellStyle name="_TG-TH_2_Book1_dieu chinh KH 2011 ngay 26-5-2011111" xfId="1016" xr:uid="{00000000-0005-0000-0000-000087040000}"/>
    <cellStyle name="_TG-TH_2_Book1_DS KCH PHAN BO VON NSDP NAM 2010" xfId="1017" xr:uid="{00000000-0005-0000-0000-000088040000}"/>
    <cellStyle name="_TG-TH_2_Book1_giao KH 2011 ngay 10-12-2010" xfId="1018" xr:uid="{00000000-0005-0000-0000-000089040000}"/>
    <cellStyle name="_TG-TH_2_Book1_Luy ke von ung nam 2011 -Thoa gui ngay 12-8-2012" xfId="1019" xr:uid="{00000000-0005-0000-0000-00008A040000}"/>
    <cellStyle name="_TG-TH_2_CAU Khanh Nam(Thi Cong)" xfId="1020" xr:uid="{00000000-0005-0000-0000-00008B040000}"/>
    <cellStyle name="_TG-TH_2_CAU Khanh Nam(Thi Cong) 2" xfId="4439" xr:uid="{00000000-0005-0000-0000-00008C040000}"/>
    <cellStyle name="_TG-TH_2_ChiHuong_ApGia" xfId="1023" xr:uid="{00000000-0005-0000-0000-00008D040000}"/>
    <cellStyle name="_TG-TH_2_ChiHuong_ApGia 2" xfId="4440" xr:uid="{00000000-0005-0000-0000-00008E040000}"/>
    <cellStyle name="_TG-TH_2_CoCauPhi (version 1)" xfId="1021" xr:uid="{00000000-0005-0000-0000-00008F040000}"/>
    <cellStyle name="_TG-TH_2_Copy of 05-12  KH trung han 2016-2020 - Liem Thinh edited (1)" xfId="1022" xr:uid="{00000000-0005-0000-0000-000090040000}"/>
    <cellStyle name="_TG-TH_2_danh muc chuan bi dau tu 2011 ngay 07-6-2011" xfId="1024" xr:uid="{00000000-0005-0000-0000-000091040000}"/>
    <cellStyle name="_TG-TH_2_Danh muc pbo nguon von XSKT, XDCB nam 2009 chuyen qua nam 2010" xfId="1025" xr:uid="{00000000-0005-0000-0000-000092040000}"/>
    <cellStyle name="_TG-TH_2_Danh muc pbo nguon von XSKT, XDCB nam 2009 chuyen qua nam 2010 2" xfId="4441" xr:uid="{00000000-0005-0000-0000-000093040000}"/>
    <cellStyle name="_TG-TH_2_DAU NOI PL-CL TAI PHU LAMHC" xfId="1026" xr:uid="{00000000-0005-0000-0000-000094040000}"/>
    <cellStyle name="_TG-TH_2_dieu chinh KH 2011 ngay 26-5-2011111" xfId="1027" xr:uid="{00000000-0005-0000-0000-000095040000}"/>
    <cellStyle name="_TG-TH_2_DS KCH PHAN BO VON NSDP NAM 2010" xfId="1028" xr:uid="{00000000-0005-0000-0000-000096040000}"/>
    <cellStyle name="_TG-TH_2_DS KCH PHAN BO VON NSDP NAM 2010 2" xfId="4442" xr:uid="{00000000-0005-0000-0000-000097040000}"/>
    <cellStyle name="_TG-TH_2_DTCDT MR.2N110.HOCMON.TDTOAN.CCUNG" xfId="1029" xr:uid="{00000000-0005-0000-0000-000098040000}"/>
    <cellStyle name="_TG-TH_2_DU TRU VAT TU" xfId="1030" xr:uid="{00000000-0005-0000-0000-000099040000}"/>
    <cellStyle name="_TG-TH_2_DU TRU VAT TU 2" xfId="4443" xr:uid="{00000000-0005-0000-0000-00009A040000}"/>
    <cellStyle name="_TG-TH_2_giao KH 2011 ngay 10-12-2010" xfId="1032" xr:uid="{00000000-0005-0000-0000-00009B040000}"/>
    <cellStyle name="_TG-TH_2_GTGT 2003" xfId="1031" xr:uid="{00000000-0005-0000-0000-00009C040000}"/>
    <cellStyle name="_TG-TH_2_KE KHAI THUE GTGT 2004" xfId="1033" xr:uid="{00000000-0005-0000-0000-00009D040000}"/>
    <cellStyle name="_TG-TH_2_KE KHAI THUE GTGT 2004 2" xfId="4444" xr:uid="{00000000-0005-0000-0000-00009E040000}"/>
    <cellStyle name="_TG-TH_2_KE KHAI THUE GTGT 2004_BCTC2004" xfId="1034" xr:uid="{00000000-0005-0000-0000-00009F040000}"/>
    <cellStyle name="_TG-TH_2_KH TPCP 2016-2020 (tong hop)" xfId="1036" xr:uid="{00000000-0005-0000-0000-0000A0040000}"/>
    <cellStyle name="_TG-TH_2_KH TPCP vung TNB (03-1-2012)" xfId="1037" xr:uid="{00000000-0005-0000-0000-0000A1040000}"/>
    <cellStyle name="_TG-TH_2_kien giang 2" xfId="1035" xr:uid="{00000000-0005-0000-0000-0000A2040000}"/>
    <cellStyle name="_TG-TH_2_Lora-tungchau" xfId="1038" xr:uid="{00000000-0005-0000-0000-0000A3040000}"/>
    <cellStyle name="_TG-TH_2_Luy ke von ung nam 2011 -Thoa gui ngay 12-8-2012" xfId="1039" xr:uid="{00000000-0005-0000-0000-0000A4040000}"/>
    <cellStyle name="_TG-TH_2_Luy ke von ung nam 2011 -Thoa gui ngay 12-8-2012 2" xfId="4445" xr:uid="{00000000-0005-0000-0000-0000A5040000}"/>
    <cellStyle name="_TG-TH_2_NhanCong" xfId="1041" xr:uid="{00000000-0005-0000-0000-0000A6040000}"/>
    <cellStyle name="_TG-TH_2_N-X-T-04" xfId="1040" xr:uid="{00000000-0005-0000-0000-0000A7040000}"/>
    <cellStyle name="_TG-TH_2_PGIA-phieu tham tra Kho bac" xfId="1042" xr:uid="{00000000-0005-0000-0000-0000A8040000}"/>
    <cellStyle name="_TG-TH_2_phu luc tong ket tinh hinh TH giai doan 03-10 (ngay 30)" xfId="1047" xr:uid="{00000000-0005-0000-0000-0000A9040000}"/>
    <cellStyle name="_TG-TH_2_phu luc tong ket tinh hinh TH giai doan 03-10 (ngay 30) 2" xfId="4446" xr:uid="{00000000-0005-0000-0000-0000AA040000}"/>
    <cellStyle name="_TG-TH_2_PT02-02" xfId="1043" xr:uid="{00000000-0005-0000-0000-0000AB040000}"/>
    <cellStyle name="_TG-TH_2_PT02-02_Book1" xfId="1044" xr:uid="{00000000-0005-0000-0000-0000AC040000}"/>
    <cellStyle name="_TG-TH_2_PT02-03" xfId="1045" xr:uid="{00000000-0005-0000-0000-0000AD040000}"/>
    <cellStyle name="_TG-TH_2_PT02-03_Book1" xfId="1046" xr:uid="{00000000-0005-0000-0000-0000AE040000}"/>
    <cellStyle name="_TG-TH_2_Qt-HT3PQ1(CauKho)" xfId="1048" xr:uid="{00000000-0005-0000-0000-0000AF040000}"/>
    <cellStyle name="_TG-TH_2_Sheet1" xfId="1049" xr:uid="{00000000-0005-0000-0000-0000B0040000}"/>
    <cellStyle name="_TG-TH_2_TK152-04" xfId="1050" xr:uid="{00000000-0005-0000-0000-0000B1040000}"/>
    <cellStyle name="_TG-TH_2_ÿÿÿÿÿ" xfId="1051" xr:uid="{00000000-0005-0000-0000-0000B2040000}"/>
    <cellStyle name="_TG-TH_2_ÿÿÿÿÿ 2" xfId="4447" xr:uid="{00000000-0005-0000-0000-0000B3040000}"/>
    <cellStyle name="_TG-TH_2_ÿÿÿÿÿ_Bieu mau cong trinh khoi cong moi 3-4" xfId="1052" xr:uid="{00000000-0005-0000-0000-0000B4040000}"/>
    <cellStyle name="_TG-TH_2_ÿÿÿÿÿ_Bieu mau cong trinh khoi cong moi 3-4 2" xfId="4448" xr:uid="{00000000-0005-0000-0000-0000B5040000}"/>
    <cellStyle name="_TG-TH_2_ÿÿÿÿÿ_Bieu3ODA" xfId="1053" xr:uid="{00000000-0005-0000-0000-0000B6040000}"/>
    <cellStyle name="_TG-TH_2_ÿÿÿÿÿ_Bieu3ODA 2" xfId="4449" xr:uid="{00000000-0005-0000-0000-0000B7040000}"/>
    <cellStyle name="_TG-TH_2_ÿÿÿÿÿ_Bieu4HTMT" xfId="1054" xr:uid="{00000000-0005-0000-0000-0000B8040000}"/>
    <cellStyle name="_TG-TH_2_ÿÿÿÿÿ_Bieu4HTMT 2" xfId="4450" xr:uid="{00000000-0005-0000-0000-0000B9040000}"/>
    <cellStyle name="_TG-TH_2_ÿÿÿÿÿ_KH TPCP vung TNB (03-1-2012)" xfId="1056" xr:uid="{00000000-0005-0000-0000-0000BA040000}"/>
    <cellStyle name="_TG-TH_2_ÿÿÿÿÿ_kien giang 2" xfId="1055" xr:uid="{00000000-0005-0000-0000-0000BB040000}"/>
    <cellStyle name="_TG-TH_3" xfId="1057" xr:uid="{00000000-0005-0000-0000-0000BC040000}"/>
    <cellStyle name="_TG-TH_3 2" xfId="1058" xr:uid="{00000000-0005-0000-0000-0000BD040000}"/>
    <cellStyle name="_TG-TH_3_05-12  KH trung han 2016-2020 - Liem Thinh edited" xfId="1059" xr:uid="{00000000-0005-0000-0000-0000BE040000}"/>
    <cellStyle name="_TG-TH_3_Copy of 05-12  KH trung han 2016-2020 - Liem Thinh edited (1)" xfId="1060" xr:uid="{00000000-0005-0000-0000-0000BF040000}"/>
    <cellStyle name="_TG-TH_3_KH TPCP 2016-2020 (tong hop)" xfId="1061" xr:uid="{00000000-0005-0000-0000-0000C0040000}"/>
    <cellStyle name="_TG-TH_3_Lora-tungchau" xfId="1062" xr:uid="{00000000-0005-0000-0000-0000C1040000}"/>
    <cellStyle name="_TG-TH_3_Lora-tungchau 2" xfId="1063" xr:uid="{00000000-0005-0000-0000-0000C2040000}"/>
    <cellStyle name="_TG-TH_3_Lora-tungchau_05-12  KH trung han 2016-2020 - Liem Thinh edited" xfId="1064" xr:uid="{00000000-0005-0000-0000-0000C3040000}"/>
    <cellStyle name="_TG-TH_3_Lora-tungchau_Copy of 05-12  KH trung han 2016-2020 - Liem Thinh edited (1)" xfId="1065" xr:uid="{00000000-0005-0000-0000-0000C4040000}"/>
    <cellStyle name="_TG-TH_3_Lora-tungchau_KH TPCP 2016-2020 (tong hop)" xfId="1066" xr:uid="{00000000-0005-0000-0000-0000C5040000}"/>
    <cellStyle name="_TG-TH_3_Qt-HT3PQ1(CauKho)" xfId="1067" xr:uid="{00000000-0005-0000-0000-0000C6040000}"/>
    <cellStyle name="_TG-TH_4" xfId="1068" xr:uid="{00000000-0005-0000-0000-0000C7040000}"/>
    <cellStyle name="_TH KH 2010" xfId="1077" xr:uid="{00000000-0005-0000-0000-0000C8040000}"/>
    <cellStyle name="_TK152-04" xfId="1069" xr:uid="{00000000-0005-0000-0000-0000C9040000}"/>
    <cellStyle name="_Tong dutoan PP LAHAI" xfId="1070" xr:uid="{00000000-0005-0000-0000-0000CA040000}"/>
    <cellStyle name="_TPCP GT-24-5-Mien Nui" xfId="1071" xr:uid="{00000000-0005-0000-0000-0000CB040000}"/>
    <cellStyle name="_TPCP GT-24-5-Mien Nui_!1 1 bao cao giao KH ve HTCMT vung TNB   12-12-2011" xfId="1072" xr:uid="{00000000-0005-0000-0000-0000CC040000}"/>
    <cellStyle name="_TPCP GT-24-5-Mien Nui_Bieu4HTMT" xfId="1073" xr:uid="{00000000-0005-0000-0000-0000CD040000}"/>
    <cellStyle name="_TPCP GT-24-5-Mien Nui_Bieu4HTMT_!1 1 bao cao giao KH ve HTCMT vung TNB   12-12-2011" xfId="1074" xr:uid="{00000000-0005-0000-0000-0000CE040000}"/>
    <cellStyle name="_TPCP GT-24-5-Mien Nui_Bieu4HTMT_KH TPCP vung TNB (03-1-2012)" xfId="1075" xr:uid="{00000000-0005-0000-0000-0000CF040000}"/>
    <cellStyle name="_TPCP GT-24-5-Mien Nui_KH TPCP vung TNB (03-1-2012)" xfId="1076" xr:uid="{00000000-0005-0000-0000-0000D0040000}"/>
    <cellStyle name="_ung truoc 2011 NSTW Thanh Hoa + Nge An gui Thu 12-5" xfId="1078" xr:uid="{00000000-0005-0000-0000-0000D1040000}"/>
    <cellStyle name="_ung truoc 2011 NSTW Thanh Hoa + Nge An gui Thu 12-5_!1 1 bao cao giao KH ve HTCMT vung TNB   12-12-2011" xfId="1079" xr:uid="{00000000-0005-0000-0000-0000D2040000}"/>
    <cellStyle name="_ung truoc 2011 NSTW Thanh Hoa + Nge An gui Thu 12-5_Bieu4HTMT" xfId="1080" xr:uid="{00000000-0005-0000-0000-0000D3040000}"/>
    <cellStyle name="_ung truoc 2011 NSTW Thanh Hoa + Nge An gui Thu 12-5_Bieu4HTMT_!1 1 bao cao giao KH ve HTCMT vung TNB   12-12-2011" xfId="1081" xr:uid="{00000000-0005-0000-0000-0000D4040000}"/>
    <cellStyle name="_ung truoc 2011 NSTW Thanh Hoa + Nge An gui Thu 12-5_Bieu4HTMT_KH TPCP vung TNB (03-1-2012)" xfId="1082" xr:uid="{00000000-0005-0000-0000-0000D5040000}"/>
    <cellStyle name="_ung truoc 2011 NSTW Thanh Hoa + Nge An gui Thu 12-5_KH TPCP vung TNB (03-1-2012)" xfId="1083" xr:uid="{00000000-0005-0000-0000-0000D6040000}"/>
    <cellStyle name="_ung truoc cua long an (6-5-2010)" xfId="1084" xr:uid="{00000000-0005-0000-0000-0000D7040000}"/>
    <cellStyle name="_Ung von nam 2011 vung TNB - Doan Cong tac (12-5-2010)" xfId="1085" xr:uid="{00000000-0005-0000-0000-0000D8040000}"/>
    <cellStyle name="_Ung von nam 2011 vung TNB - Doan Cong tac (12-5-2010)_!1 1 bao cao giao KH ve HTCMT vung TNB   12-12-2011" xfId="1086" xr:uid="{00000000-0005-0000-0000-0000D9040000}"/>
    <cellStyle name="_Ung von nam 2011 vung TNB - Doan Cong tac (12-5-2010)_Bieu4HTMT" xfId="1087" xr:uid="{00000000-0005-0000-0000-0000DA040000}"/>
    <cellStyle name="_Ung von nam 2011 vung TNB - Doan Cong tac (12-5-2010)_Bieu4HTMT_!1 1 bao cao giao KH ve HTCMT vung TNB   12-12-2011" xfId="1088" xr:uid="{00000000-0005-0000-0000-0000DB040000}"/>
    <cellStyle name="_Ung von nam 2011 vung TNB - Doan Cong tac (12-5-2010)_Bieu4HTMT_KH TPCP vung TNB (03-1-2012)" xfId="1089" xr:uid="{00000000-0005-0000-0000-0000DC040000}"/>
    <cellStyle name="_Ung von nam 2011 vung TNB - Doan Cong tac (12-5-2010)_Chuẩn bị đầu tư 2011 (sep Hung)_KH 2012 (T3-2013)" xfId="1096" xr:uid="{00000000-0005-0000-0000-0000DD040000}"/>
    <cellStyle name="_Ung von nam 2011 vung TNB - Doan Cong tac (12-5-2010)_Cong trinh co y kien LD_Dang_NN_2011-Tay nguyen-9-10" xfId="1090" xr:uid="{00000000-0005-0000-0000-0000DE040000}"/>
    <cellStyle name="_Ung von nam 2011 vung TNB - Doan Cong tac (12-5-2010)_Cong trinh co y kien LD_Dang_NN_2011-Tay nguyen-9-10_!1 1 bao cao giao KH ve HTCMT vung TNB   12-12-2011" xfId="1091" xr:uid="{00000000-0005-0000-0000-0000DF040000}"/>
    <cellStyle name="_Ung von nam 2011 vung TNB - Doan Cong tac (12-5-2010)_Cong trinh co y kien LD_Dang_NN_2011-Tay nguyen-9-10_Bieu4HTMT" xfId="1092" xr:uid="{00000000-0005-0000-0000-0000E0040000}"/>
    <cellStyle name="_Ung von nam 2011 vung TNB - Doan Cong tac (12-5-2010)_Cong trinh co y kien LD_Dang_NN_2011-Tay nguyen-9-10_Bieu4HTMT_!1 1 bao cao giao KH ve HTCMT vung TNB   12-12-2011" xfId="1093" xr:uid="{00000000-0005-0000-0000-0000E1040000}"/>
    <cellStyle name="_Ung von nam 2011 vung TNB - Doan Cong tac (12-5-2010)_Cong trinh co y kien LD_Dang_NN_2011-Tay nguyen-9-10_Bieu4HTMT_KH TPCP vung TNB (03-1-2012)" xfId="1094" xr:uid="{00000000-0005-0000-0000-0000E2040000}"/>
    <cellStyle name="_Ung von nam 2011 vung TNB - Doan Cong tac (12-5-2010)_Cong trinh co y kien LD_Dang_NN_2011-Tay nguyen-9-10_KH TPCP vung TNB (03-1-2012)" xfId="1095" xr:uid="{00000000-0005-0000-0000-0000E3040000}"/>
    <cellStyle name="_Ung von nam 2011 vung TNB - Doan Cong tac (12-5-2010)_KH TPCP vung TNB (03-1-2012)" xfId="1097" xr:uid="{00000000-0005-0000-0000-0000E4040000}"/>
    <cellStyle name="_Ung von nam 2011 vung TNB - Doan Cong tac (12-5-2010)_TN - Ho tro khac 2011" xfId="1098" xr:uid="{00000000-0005-0000-0000-0000E5040000}"/>
    <cellStyle name="_Ung von nam 2011 vung TNB - Doan Cong tac (12-5-2010)_TN - Ho tro khac 2011_!1 1 bao cao giao KH ve HTCMT vung TNB   12-12-2011" xfId="1099" xr:uid="{00000000-0005-0000-0000-0000E6040000}"/>
    <cellStyle name="_Ung von nam 2011 vung TNB - Doan Cong tac (12-5-2010)_TN - Ho tro khac 2011_Bieu4HTMT" xfId="1100" xr:uid="{00000000-0005-0000-0000-0000E7040000}"/>
    <cellStyle name="_Ung von nam 2011 vung TNB - Doan Cong tac (12-5-2010)_TN - Ho tro khac 2011_Bieu4HTMT_!1 1 bao cao giao KH ve HTCMT vung TNB   12-12-2011" xfId="1101" xr:uid="{00000000-0005-0000-0000-0000E8040000}"/>
    <cellStyle name="_Ung von nam 2011 vung TNB - Doan Cong tac (12-5-2010)_TN - Ho tro khac 2011_Bieu4HTMT_KH TPCP vung TNB (03-1-2012)" xfId="1102" xr:uid="{00000000-0005-0000-0000-0000E9040000}"/>
    <cellStyle name="_Ung von nam 2011 vung TNB - Doan Cong tac (12-5-2010)_TN - Ho tro khac 2011_KH TPCP vung TNB (03-1-2012)" xfId="1103" xr:uid="{00000000-0005-0000-0000-0000EA040000}"/>
    <cellStyle name="_Von dau tu 2006-2020 (TL chien luoc)" xfId="1104" xr:uid="{00000000-0005-0000-0000-0000EB040000}"/>
    <cellStyle name="_Von dau tu 2006-2020 (TL chien luoc)_15_10_2013 BC nhu cau von doi ung ODA (2014-2016) ngay 15102013 Sua" xfId="1105" xr:uid="{00000000-0005-0000-0000-0000EC040000}"/>
    <cellStyle name="_Von dau tu 2006-2020 (TL chien luoc)_BC nhu cau von doi ung ODA nganh NN (BKH)" xfId="1106" xr:uid="{00000000-0005-0000-0000-0000ED040000}"/>
    <cellStyle name="_Von dau tu 2006-2020 (TL chien luoc)_BC nhu cau von doi ung ODA nganh NN (BKH)_05-12  KH trung han 2016-2020 - Liem Thinh edited" xfId="1107" xr:uid="{00000000-0005-0000-0000-0000EE040000}"/>
    <cellStyle name="_Von dau tu 2006-2020 (TL chien luoc)_BC nhu cau von doi ung ODA nganh NN (BKH)_Copy of 05-12  KH trung han 2016-2020 - Liem Thinh edited (1)" xfId="1108" xr:uid="{00000000-0005-0000-0000-0000EF040000}"/>
    <cellStyle name="_Von dau tu 2006-2020 (TL chien luoc)_BC Tai co cau (bieu TH)" xfId="1109" xr:uid="{00000000-0005-0000-0000-0000F0040000}"/>
    <cellStyle name="_Von dau tu 2006-2020 (TL chien luoc)_BC Tai co cau (bieu TH)_05-12  KH trung han 2016-2020 - Liem Thinh edited" xfId="1110" xr:uid="{00000000-0005-0000-0000-0000F1040000}"/>
    <cellStyle name="_Von dau tu 2006-2020 (TL chien luoc)_BC Tai co cau (bieu TH)_Copy of 05-12  KH trung han 2016-2020 - Liem Thinh edited (1)" xfId="1111" xr:uid="{00000000-0005-0000-0000-0000F2040000}"/>
    <cellStyle name="_Von dau tu 2006-2020 (TL chien luoc)_DK 2014-2015 final" xfId="1112" xr:uid="{00000000-0005-0000-0000-0000F3040000}"/>
    <cellStyle name="_Von dau tu 2006-2020 (TL chien luoc)_DK 2014-2015 final_05-12  KH trung han 2016-2020 - Liem Thinh edited" xfId="1113" xr:uid="{00000000-0005-0000-0000-0000F4040000}"/>
    <cellStyle name="_Von dau tu 2006-2020 (TL chien luoc)_DK 2014-2015 final_Copy of 05-12  KH trung han 2016-2020 - Liem Thinh edited (1)" xfId="1114" xr:uid="{00000000-0005-0000-0000-0000F5040000}"/>
    <cellStyle name="_Von dau tu 2006-2020 (TL chien luoc)_DK 2014-2015 new" xfId="1115" xr:uid="{00000000-0005-0000-0000-0000F6040000}"/>
    <cellStyle name="_Von dau tu 2006-2020 (TL chien luoc)_DK 2014-2015 new_05-12  KH trung han 2016-2020 - Liem Thinh edited" xfId="1116" xr:uid="{00000000-0005-0000-0000-0000F7040000}"/>
    <cellStyle name="_Von dau tu 2006-2020 (TL chien luoc)_DK 2014-2015 new_Copy of 05-12  KH trung han 2016-2020 - Liem Thinh edited (1)" xfId="1117" xr:uid="{00000000-0005-0000-0000-0000F8040000}"/>
    <cellStyle name="_Von dau tu 2006-2020 (TL chien luoc)_DK KH CBDT 2014 11-11-2013" xfId="1118" xr:uid="{00000000-0005-0000-0000-0000F9040000}"/>
    <cellStyle name="_Von dau tu 2006-2020 (TL chien luoc)_DK KH CBDT 2014 11-11-2013(1)" xfId="1119" xr:uid="{00000000-0005-0000-0000-0000FA040000}"/>
    <cellStyle name="_Von dau tu 2006-2020 (TL chien luoc)_DK KH CBDT 2014 11-11-2013(1)_05-12  KH trung han 2016-2020 - Liem Thinh edited" xfId="1120" xr:uid="{00000000-0005-0000-0000-0000FB040000}"/>
    <cellStyle name="_Von dau tu 2006-2020 (TL chien luoc)_DK KH CBDT 2014 11-11-2013(1)_Copy of 05-12  KH trung han 2016-2020 - Liem Thinh edited (1)" xfId="1121" xr:uid="{00000000-0005-0000-0000-0000FC040000}"/>
    <cellStyle name="_Von dau tu 2006-2020 (TL chien luoc)_DK KH CBDT 2014 11-11-2013_05-12  KH trung han 2016-2020 - Liem Thinh edited" xfId="1122" xr:uid="{00000000-0005-0000-0000-0000FD040000}"/>
    <cellStyle name="_Von dau tu 2006-2020 (TL chien luoc)_DK KH CBDT 2014 11-11-2013_Copy of 05-12  KH trung han 2016-2020 - Liem Thinh edited (1)" xfId="1123" xr:uid="{00000000-0005-0000-0000-0000FE040000}"/>
    <cellStyle name="_Von dau tu 2006-2020 (TL chien luoc)_KH 2011-2015" xfId="1124" xr:uid="{00000000-0005-0000-0000-0000FF040000}"/>
    <cellStyle name="_Von dau tu 2006-2020 (TL chien luoc)_tai co cau dau tu (tong hop)1" xfId="1125" xr:uid="{00000000-0005-0000-0000-000000050000}"/>
    <cellStyle name="_x005f_x0001_" xfId="1126" xr:uid="{00000000-0005-0000-0000-000001050000}"/>
    <cellStyle name="_x005f_x0001__!1 1 bao cao giao KH ve HTCMT vung TNB   12-12-2011" xfId="1127" xr:uid="{00000000-0005-0000-0000-000002050000}"/>
    <cellStyle name="_x005f_x0001__kien giang 2" xfId="1128" xr:uid="{00000000-0005-0000-0000-000003050000}"/>
    <cellStyle name="_x005f_x000d__x005f_x000a_JournalTemplate=C:\COMFO\CTALK\JOURSTD.TPL_x005f_x000d__x005f_x000a_LbStateAddress=3 3 0 251 1 89 2 311_x005f_x000d__x005f_x000a_LbStateJou" xfId="1129" xr:uid="{00000000-0005-0000-0000-000004050000}"/>
    <cellStyle name="_x005f_x005f_x005f_x0001_" xfId="1130" xr:uid="{00000000-0005-0000-0000-000005050000}"/>
    <cellStyle name="_x005f_x005f_x005f_x0001__!1 1 bao cao giao KH ve HTCMT vung TNB   12-12-2011" xfId="1131" xr:uid="{00000000-0005-0000-0000-000006050000}"/>
    <cellStyle name="_x005f_x005f_x005f_x0001__kien giang 2" xfId="1132" xr:uid="{00000000-0005-0000-0000-000007050000}"/>
    <cellStyle name="_x005f_x005f_x005f_x000d__x005f_x005f_x005f_x000a_JournalTemplate=C:\COMFO\CTALK\JOURSTD.TPL_x005f_x005f_x005f_x000d__x005f_x005f_x005f_x000a_LbStateAddress=3 3 0 251 1 89 2 311_x005f_x005f_x005f_x000d__x005f_x005f_x005f_x000a_LbStateJou" xfId="1133" xr:uid="{00000000-0005-0000-0000-000008050000}"/>
    <cellStyle name="_XDCB thang 12.2010" xfId="1134" xr:uid="{00000000-0005-0000-0000-000009050000}"/>
    <cellStyle name="_ÿÿÿÿÿ" xfId="1135" xr:uid="{00000000-0005-0000-0000-00000A050000}"/>
    <cellStyle name="_ÿÿÿÿÿ_Bieu mau cong trinh khoi cong moi 3-4" xfId="1136" xr:uid="{00000000-0005-0000-0000-00000B050000}"/>
    <cellStyle name="_ÿÿÿÿÿ_Bieu mau cong trinh khoi cong moi 3-4_!1 1 bao cao giao KH ve HTCMT vung TNB   12-12-2011" xfId="1137" xr:uid="{00000000-0005-0000-0000-00000C050000}"/>
    <cellStyle name="_ÿÿÿÿÿ_Bieu mau cong trinh khoi cong moi 3-4_KH TPCP vung TNB (03-1-2012)" xfId="1138" xr:uid="{00000000-0005-0000-0000-00000D050000}"/>
    <cellStyle name="_ÿÿÿÿÿ_Bieu3ODA" xfId="1139" xr:uid="{00000000-0005-0000-0000-00000E050000}"/>
    <cellStyle name="_ÿÿÿÿÿ_Bieu3ODA_!1 1 bao cao giao KH ve HTCMT vung TNB   12-12-2011" xfId="1140" xr:uid="{00000000-0005-0000-0000-00000F050000}"/>
    <cellStyle name="_ÿÿÿÿÿ_Bieu3ODA_KH TPCP vung TNB (03-1-2012)" xfId="1141" xr:uid="{00000000-0005-0000-0000-000010050000}"/>
    <cellStyle name="_ÿÿÿÿÿ_Bieu4HTMT" xfId="1142" xr:uid="{00000000-0005-0000-0000-000011050000}"/>
    <cellStyle name="_ÿÿÿÿÿ_Bieu4HTMT_!1 1 bao cao giao KH ve HTCMT vung TNB   12-12-2011" xfId="1143" xr:uid="{00000000-0005-0000-0000-000012050000}"/>
    <cellStyle name="_ÿÿÿÿÿ_Bieu4HTMT_KH TPCP vung TNB (03-1-2012)" xfId="1144" xr:uid="{00000000-0005-0000-0000-000013050000}"/>
    <cellStyle name="_ÿÿÿÿÿ_Kh ql62 (2010) 11-09" xfId="1146" xr:uid="{00000000-0005-0000-0000-000014050000}"/>
    <cellStyle name="_ÿÿÿÿÿ_KH TPCP vung TNB (03-1-2012)" xfId="1147" xr:uid="{00000000-0005-0000-0000-000015050000}"/>
    <cellStyle name="_ÿÿÿÿÿ_Khung 2012" xfId="1148" xr:uid="{00000000-0005-0000-0000-000016050000}"/>
    <cellStyle name="_ÿÿÿÿÿ_kien giang 2" xfId="1145" xr:uid="{00000000-0005-0000-0000-000017050000}"/>
    <cellStyle name="~1" xfId="1149" xr:uid="{00000000-0005-0000-0000-000018050000}"/>
    <cellStyle name="’Ê‰Ý [0.00]_laroux" xfId="1150" xr:uid="{00000000-0005-0000-0000-000019050000}"/>
    <cellStyle name="’Ê‰Ý_laroux" xfId="1151" xr:uid="{00000000-0005-0000-0000-00001A050000}"/>
    <cellStyle name="¤@¯ë_CHI PHI QUAN LY 1-00" xfId="1152" xr:uid="{00000000-0005-0000-0000-00001B050000}"/>
    <cellStyle name="•W?_Format" xfId="1153" xr:uid="{00000000-0005-0000-0000-00001C050000}"/>
    <cellStyle name="•W€_’·Šú‰p•¶" xfId="1154" xr:uid="{00000000-0005-0000-0000-00001D050000}"/>
    <cellStyle name="•W_’·Šú‰p•¶" xfId="1155" xr:uid="{00000000-0005-0000-0000-00001E050000}"/>
    <cellStyle name="W_MARINE" xfId="1156" xr:uid="{00000000-0005-0000-0000-00001F050000}"/>
    <cellStyle name="0" xfId="1157" xr:uid="{00000000-0005-0000-0000-000020050000}"/>
    <cellStyle name="0 2" xfId="1158" xr:uid="{00000000-0005-0000-0000-000021050000}"/>
    <cellStyle name="0,0_x000a__x000a_NA_x000a__x000a_" xfId="1159" xr:uid="{00000000-0005-0000-0000-000022050000}"/>
    <cellStyle name="0,0_x000d__x000a_NA_x000d__x000a_" xfId="1160" xr:uid="{00000000-0005-0000-0000-000023050000}"/>
    <cellStyle name="0,0_x000d__x000a_NA_x000d__x000a_ 2" xfId="1161" xr:uid="{00000000-0005-0000-0000-000024050000}"/>
    <cellStyle name="0,0_x000d__x000a_NA_x000d__x000a__Thanh hoa chinh thuc 28-2" xfId="1162" xr:uid="{00000000-0005-0000-0000-000025050000}"/>
    <cellStyle name="0,0_x005f_x000d__x005f_x000a_NA_x005f_x000d__x005f_x000a_" xfId="1163" xr:uid="{00000000-0005-0000-0000-000026050000}"/>
    <cellStyle name="0.0" xfId="1164" xr:uid="{00000000-0005-0000-0000-000027050000}"/>
    <cellStyle name="0.0 2" xfId="1165" xr:uid="{00000000-0005-0000-0000-000028050000}"/>
    <cellStyle name="0.00" xfId="1166" xr:uid="{00000000-0005-0000-0000-000029050000}"/>
    <cellStyle name="0.00 2" xfId="1167" xr:uid="{00000000-0005-0000-0000-00002A050000}"/>
    <cellStyle name="1" xfId="1168" xr:uid="{00000000-0005-0000-0000-00002B050000}"/>
    <cellStyle name="1 2" xfId="1169" xr:uid="{00000000-0005-0000-0000-00002C050000}"/>
    <cellStyle name="1_!1 1 bao cao giao KH ve HTCMT vung TNB   12-12-2011" xfId="1170" xr:uid="{00000000-0005-0000-0000-00002D050000}"/>
    <cellStyle name="1_BAO GIA NGAY 24-10-08 (co dam)" xfId="1171" xr:uid="{00000000-0005-0000-0000-00002E050000}"/>
    <cellStyle name="1_Bieu4HTMT" xfId="1172" xr:uid="{00000000-0005-0000-0000-00002F050000}"/>
    <cellStyle name="1_Book1" xfId="1173" xr:uid="{00000000-0005-0000-0000-000030050000}"/>
    <cellStyle name="1_Book1_1" xfId="1174" xr:uid="{00000000-0005-0000-0000-000031050000}"/>
    <cellStyle name="1_Book1_1_!1 1 bao cao giao KH ve HTCMT vung TNB   12-12-2011" xfId="1175" xr:uid="{00000000-0005-0000-0000-000032050000}"/>
    <cellStyle name="1_Book1_1_Bieu4HTMT" xfId="1176" xr:uid="{00000000-0005-0000-0000-000033050000}"/>
    <cellStyle name="1_Book1_1_Bieu4HTMT_!1 1 bao cao giao KH ve HTCMT vung TNB   12-12-2011" xfId="1177" xr:uid="{00000000-0005-0000-0000-000034050000}"/>
    <cellStyle name="1_Book1_1_Bieu4HTMT_KH TPCP vung TNB (03-1-2012)" xfId="1178" xr:uid="{00000000-0005-0000-0000-000035050000}"/>
    <cellStyle name="1_Book1_1_KH TPCP vung TNB (03-1-2012)" xfId="1179" xr:uid="{00000000-0005-0000-0000-000036050000}"/>
    <cellStyle name="1_Cau thuy dien Ban La (Cu Anh)" xfId="1180" xr:uid="{00000000-0005-0000-0000-000037050000}"/>
    <cellStyle name="1_Cau thuy dien Ban La (Cu Anh)_!1 1 bao cao giao KH ve HTCMT vung TNB   12-12-2011" xfId="1181" xr:uid="{00000000-0005-0000-0000-000038050000}"/>
    <cellStyle name="1_Cau thuy dien Ban La (Cu Anh)_Bieu4HTMT" xfId="1182" xr:uid="{00000000-0005-0000-0000-000039050000}"/>
    <cellStyle name="1_Cau thuy dien Ban La (Cu Anh)_Bieu4HTMT_!1 1 bao cao giao KH ve HTCMT vung TNB   12-12-2011" xfId="1183" xr:uid="{00000000-0005-0000-0000-00003A050000}"/>
    <cellStyle name="1_Cau thuy dien Ban La (Cu Anh)_Bieu4HTMT_KH TPCP vung TNB (03-1-2012)" xfId="1184" xr:uid="{00000000-0005-0000-0000-00003B050000}"/>
    <cellStyle name="1_Cau thuy dien Ban La (Cu Anh)_KH TPCP vung TNB (03-1-2012)" xfId="1185" xr:uid="{00000000-0005-0000-0000-00003C050000}"/>
    <cellStyle name="1_Cong trinh co y kien LD_Dang_NN_2011-Tay nguyen-9-10" xfId="1186" xr:uid="{00000000-0005-0000-0000-00003D050000}"/>
    <cellStyle name="1_Du toan 558 (Km17+508.12 - Km 22)" xfId="1187" xr:uid="{00000000-0005-0000-0000-00003E050000}"/>
    <cellStyle name="1_Du toan 558 (Km17+508.12 - Km 22)_!1 1 bao cao giao KH ve HTCMT vung TNB   12-12-2011" xfId="1188" xr:uid="{00000000-0005-0000-0000-00003F050000}"/>
    <cellStyle name="1_Du toan 558 (Km17+508.12 - Km 22)_Bieu4HTMT" xfId="1189" xr:uid="{00000000-0005-0000-0000-000040050000}"/>
    <cellStyle name="1_Du toan 558 (Km17+508.12 - Km 22)_Bieu4HTMT_!1 1 bao cao giao KH ve HTCMT vung TNB   12-12-2011" xfId="1190" xr:uid="{00000000-0005-0000-0000-000041050000}"/>
    <cellStyle name="1_Du toan 558 (Km17+508.12 - Km 22)_Bieu4HTMT_KH TPCP vung TNB (03-1-2012)" xfId="1191" xr:uid="{00000000-0005-0000-0000-000042050000}"/>
    <cellStyle name="1_Du toan 558 (Km17+508.12 - Km 22)_KH TPCP vung TNB (03-1-2012)" xfId="1192" xr:uid="{00000000-0005-0000-0000-000043050000}"/>
    <cellStyle name="1_Gia_VLQL48_duyet " xfId="1193" xr:uid="{00000000-0005-0000-0000-000044050000}"/>
    <cellStyle name="1_Gia_VLQL48_duyet _!1 1 bao cao giao KH ve HTCMT vung TNB   12-12-2011" xfId="1194" xr:uid="{00000000-0005-0000-0000-000045050000}"/>
    <cellStyle name="1_Gia_VLQL48_duyet _Bieu4HTMT" xfId="1195" xr:uid="{00000000-0005-0000-0000-000046050000}"/>
    <cellStyle name="1_Gia_VLQL48_duyet _Bieu4HTMT_!1 1 bao cao giao KH ve HTCMT vung TNB   12-12-2011" xfId="1196" xr:uid="{00000000-0005-0000-0000-000047050000}"/>
    <cellStyle name="1_Gia_VLQL48_duyet _Bieu4HTMT_KH TPCP vung TNB (03-1-2012)" xfId="1197" xr:uid="{00000000-0005-0000-0000-000048050000}"/>
    <cellStyle name="1_Gia_VLQL48_duyet _KH TPCP vung TNB (03-1-2012)" xfId="1198" xr:uid="{00000000-0005-0000-0000-000049050000}"/>
    <cellStyle name="1_Kh ql62 (2010) 11-09" xfId="1205" xr:uid="{00000000-0005-0000-0000-00004A050000}"/>
    <cellStyle name="1_KH TPCP vung TNB (03-1-2012)" xfId="1206" xr:uid="{00000000-0005-0000-0000-00004B050000}"/>
    <cellStyle name="1_Khung 2012" xfId="1207" xr:uid="{00000000-0005-0000-0000-00004C050000}"/>
    <cellStyle name="1_KlQdinhduyet" xfId="1199" xr:uid="{00000000-0005-0000-0000-00004D050000}"/>
    <cellStyle name="1_KlQdinhduyet_!1 1 bao cao giao KH ve HTCMT vung TNB   12-12-2011" xfId="1200" xr:uid="{00000000-0005-0000-0000-00004E050000}"/>
    <cellStyle name="1_KlQdinhduyet_Bieu4HTMT" xfId="1201" xr:uid="{00000000-0005-0000-0000-00004F050000}"/>
    <cellStyle name="1_KlQdinhduyet_Bieu4HTMT_!1 1 bao cao giao KH ve HTCMT vung TNB   12-12-2011" xfId="1202" xr:uid="{00000000-0005-0000-0000-000050050000}"/>
    <cellStyle name="1_KlQdinhduyet_Bieu4HTMT_KH TPCP vung TNB (03-1-2012)" xfId="1203" xr:uid="{00000000-0005-0000-0000-000051050000}"/>
    <cellStyle name="1_KlQdinhduyet_KH TPCP vung TNB (03-1-2012)" xfId="1204" xr:uid="{00000000-0005-0000-0000-000052050000}"/>
    <cellStyle name="1_TN - Ho tro khac 2011" xfId="1208" xr:uid="{00000000-0005-0000-0000-000053050000}"/>
    <cellStyle name="1_TRUNG PMU 5" xfId="1209" xr:uid="{00000000-0005-0000-0000-000054050000}"/>
    <cellStyle name="1_ÿÿÿÿÿ" xfId="1210" xr:uid="{00000000-0005-0000-0000-000055050000}"/>
    <cellStyle name="1_ÿÿÿÿÿ_Bieu tong hop nhu cau ung 2011 da chon loc -Mien nui" xfId="1211" xr:uid="{00000000-0005-0000-0000-000056050000}"/>
    <cellStyle name="1_ÿÿÿÿÿ_Bieu tong hop nhu cau ung 2011 da chon loc -Mien nui 2" xfId="1212" xr:uid="{00000000-0005-0000-0000-000057050000}"/>
    <cellStyle name="1_ÿÿÿÿÿ_Kh ql62 (2010) 11-09" xfId="1213" xr:uid="{00000000-0005-0000-0000-000058050000}"/>
    <cellStyle name="1_ÿÿÿÿÿ_Khung 2012" xfId="1214" xr:uid="{00000000-0005-0000-0000-000059050000}"/>
    <cellStyle name="15" xfId="1215" xr:uid="{00000000-0005-0000-0000-00005A050000}"/>
    <cellStyle name="18" xfId="1216" xr:uid="{00000000-0005-0000-0000-00005B050000}"/>
    <cellStyle name="¹éºÐÀ²_      " xfId="1217" xr:uid="{00000000-0005-0000-0000-00005C050000}"/>
    <cellStyle name="2" xfId="1218" xr:uid="{00000000-0005-0000-0000-00005D050000}"/>
    <cellStyle name="2_Book1" xfId="1219" xr:uid="{00000000-0005-0000-0000-00005E050000}"/>
    <cellStyle name="2_Book1_1" xfId="1220" xr:uid="{00000000-0005-0000-0000-00005F050000}"/>
    <cellStyle name="2_Book1_1_!1 1 bao cao giao KH ve HTCMT vung TNB   12-12-2011" xfId="1221" xr:uid="{00000000-0005-0000-0000-000060050000}"/>
    <cellStyle name="2_Book1_1_Bieu4HTMT" xfId="1222" xr:uid="{00000000-0005-0000-0000-000061050000}"/>
    <cellStyle name="2_Book1_1_Bieu4HTMT_!1 1 bao cao giao KH ve HTCMT vung TNB   12-12-2011" xfId="1223" xr:uid="{00000000-0005-0000-0000-000062050000}"/>
    <cellStyle name="2_Book1_1_Bieu4HTMT_KH TPCP vung TNB (03-1-2012)" xfId="1224" xr:uid="{00000000-0005-0000-0000-000063050000}"/>
    <cellStyle name="2_Book1_1_KH TPCP vung TNB (03-1-2012)" xfId="1225" xr:uid="{00000000-0005-0000-0000-000064050000}"/>
    <cellStyle name="2_Cau thuy dien Ban La (Cu Anh)" xfId="1226" xr:uid="{00000000-0005-0000-0000-000065050000}"/>
    <cellStyle name="2_Cau thuy dien Ban La (Cu Anh)_!1 1 bao cao giao KH ve HTCMT vung TNB   12-12-2011" xfId="1227" xr:uid="{00000000-0005-0000-0000-000066050000}"/>
    <cellStyle name="2_Cau thuy dien Ban La (Cu Anh)_Bieu4HTMT" xfId="1228" xr:uid="{00000000-0005-0000-0000-000067050000}"/>
    <cellStyle name="2_Cau thuy dien Ban La (Cu Anh)_Bieu4HTMT_!1 1 bao cao giao KH ve HTCMT vung TNB   12-12-2011" xfId="1229" xr:uid="{00000000-0005-0000-0000-000068050000}"/>
    <cellStyle name="2_Cau thuy dien Ban La (Cu Anh)_Bieu4HTMT_KH TPCP vung TNB (03-1-2012)" xfId="1230" xr:uid="{00000000-0005-0000-0000-000069050000}"/>
    <cellStyle name="2_Cau thuy dien Ban La (Cu Anh)_KH TPCP vung TNB (03-1-2012)" xfId="1231" xr:uid="{00000000-0005-0000-0000-00006A050000}"/>
    <cellStyle name="2_Du toan 558 (Km17+508.12 - Km 22)" xfId="1232" xr:uid="{00000000-0005-0000-0000-00006B050000}"/>
    <cellStyle name="2_Du toan 558 (Km17+508.12 - Km 22)_!1 1 bao cao giao KH ve HTCMT vung TNB   12-12-2011" xfId="1233" xr:uid="{00000000-0005-0000-0000-00006C050000}"/>
    <cellStyle name="2_Du toan 558 (Km17+508.12 - Km 22)_Bieu4HTMT" xfId="1234" xr:uid="{00000000-0005-0000-0000-00006D050000}"/>
    <cellStyle name="2_Du toan 558 (Km17+508.12 - Km 22)_Bieu4HTMT_!1 1 bao cao giao KH ve HTCMT vung TNB   12-12-2011" xfId="1235" xr:uid="{00000000-0005-0000-0000-00006E050000}"/>
    <cellStyle name="2_Du toan 558 (Km17+508.12 - Km 22)_Bieu4HTMT_KH TPCP vung TNB (03-1-2012)" xfId="1236" xr:uid="{00000000-0005-0000-0000-00006F050000}"/>
    <cellStyle name="2_Du toan 558 (Km17+508.12 - Km 22)_KH TPCP vung TNB (03-1-2012)" xfId="1237" xr:uid="{00000000-0005-0000-0000-000070050000}"/>
    <cellStyle name="2_Gia_VLQL48_duyet " xfId="1238" xr:uid="{00000000-0005-0000-0000-000071050000}"/>
    <cellStyle name="2_Gia_VLQL48_duyet _!1 1 bao cao giao KH ve HTCMT vung TNB   12-12-2011" xfId="1239" xr:uid="{00000000-0005-0000-0000-000072050000}"/>
    <cellStyle name="2_Gia_VLQL48_duyet _Bieu4HTMT" xfId="1240" xr:uid="{00000000-0005-0000-0000-000073050000}"/>
    <cellStyle name="2_Gia_VLQL48_duyet _Bieu4HTMT_!1 1 bao cao giao KH ve HTCMT vung TNB   12-12-2011" xfId="1241" xr:uid="{00000000-0005-0000-0000-000074050000}"/>
    <cellStyle name="2_Gia_VLQL48_duyet _Bieu4HTMT_KH TPCP vung TNB (03-1-2012)" xfId="1242" xr:uid="{00000000-0005-0000-0000-000075050000}"/>
    <cellStyle name="2_Gia_VLQL48_duyet _KH TPCP vung TNB (03-1-2012)" xfId="1243" xr:uid="{00000000-0005-0000-0000-000076050000}"/>
    <cellStyle name="2_KlQdinhduyet" xfId="1244" xr:uid="{00000000-0005-0000-0000-000077050000}"/>
    <cellStyle name="2_KlQdinhduyet_!1 1 bao cao giao KH ve HTCMT vung TNB   12-12-2011" xfId="1245" xr:uid="{00000000-0005-0000-0000-000078050000}"/>
    <cellStyle name="2_KlQdinhduyet_Bieu4HTMT" xfId="1246" xr:uid="{00000000-0005-0000-0000-000079050000}"/>
    <cellStyle name="2_KlQdinhduyet_Bieu4HTMT_!1 1 bao cao giao KH ve HTCMT vung TNB   12-12-2011" xfId="1247" xr:uid="{00000000-0005-0000-0000-00007A050000}"/>
    <cellStyle name="2_KlQdinhduyet_Bieu4HTMT_KH TPCP vung TNB (03-1-2012)" xfId="1248" xr:uid="{00000000-0005-0000-0000-00007B050000}"/>
    <cellStyle name="2_KlQdinhduyet_KH TPCP vung TNB (03-1-2012)" xfId="1249" xr:uid="{00000000-0005-0000-0000-00007C050000}"/>
    <cellStyle name="2_TRUNG PMU 5" xfId="1250" xr:uid="{00000000-0005-0000-0000-00007D050000}"/>
    <cellStyle name="2_ÿÿÿÿÿ" xfId="1251" xr:uid="{00000000-0005-0000-0000-00007E050000}"/>
    <cellStyle name="2_ÿÿÿÿÿ_Bieu tong hop nhu cau ung 2011 da chon loc -Mien nui" xfId="1252" xr:uid="{00000000-0005-0000-0000-00007F050000}"/>
    <cellStyle name="2_ÿÿÿÿÿ_Bieu tong hop nhu cau ung 2011 da chon loc -Mien nui 2" xfId="1253" xr:uid="{00000000-0005-0000-0000-000080050000}"/>
    <cellStyle name="20% - Accent1 2" xfId="1254" xr:uid="{00000000-0005-0000-0000-000081050000}"/>
    <cellStyle name="20% - Accent2 2" xfId="1255" xr:uid="{00000000-0005-0000-0000-000082050000}"/>
    <cellStyle name="20% - Accent3 2" xfId="1256" xr:uid="{00000000-0005-0000-0000-000083050000}"/>
    <cellStyle name="20% - Accent4 2" xfId="1257" xr:uid="{00000000-0005-0000-0000-000084050000}"/>
    <cellStyle name="20% - Accent5 2" xfId="1258" xr:uid="{00000000-0005-0000-0000-000085050000}"/>
    <cellStyle name="20% - Accent6 2" xfId="1259" xr:uid="{00000000-0005-0000-0000-000086050000}"/>
    <cellStyle name="-2001" xfId="1260" xr:uid="{00000000-0005-0000-0000-000087050000}"/>
    <cellStyle name="3" xfId="1261" xr:uid="{00000000-0005-0000-0000-000088050000}"/>
    <cellStyle name="3_Book1" xfId="1262" xr:uid="{00000000-0005-0000-0000-000089050000}"/>
    <cellStyle name="3_Book1_1" xfId="1263" xr:uid="{00000000-0005-0000-0000-00008A050000}"/>
    <cellStyle name="3_Book1_1_!1 1 bao cao giao KH ve HTCMT vung TNB   12-12-2011" xfId="1264" xr:uid="{00000000-0005-0000-0000-00008B050000}"/>
    <cellStyle name="3_Book1_1_Bieu4HTMT" xfId="1265" xr:uid="{00000000-0005-0000-0000-00008C050000}"/>
    <cellStyle name="3_Book1_1_Bieu4HTMT_!1 1 bao cao giao KH ve HTCMT vung TNB   12-12-2011" xfId="1266" xr:uid="{00000000-0005-0000-0000-00008D050000}"/>
    <cellStyle name="3_Book1_1_Bieu4HTMT_KH TPCP vung TNB (03-1-2012)" xfId="1267" xr:uid="{00000000-0005-0000-0000-00008E050000}"/>
    <cellStyle name="3_Book1_1_KH TPCP vung TNB (03-1-2012)" xfId="1268" xr:uid="{00000000-0005-0000-0000-00008F050000}"/>
    <cellStyle name="3_Cau thuy dien Ban La (Cu Anh)" xfId="1269" xr:uid="{00000000-0005-0000-0000-000090050000}"/>
    <cellStyle name="3_Cau thuy dien Ban La (Cu Anh)_!1 1 bao cao giao KH ve HTCMT vung TNB   12-12-2011" xfId="1270" xr:uid="{00000000-0005-0000-0000-000091050000}"/>
    <cellStyle name="3_Cau thuy dien Ban La (Cu Anh)_Bieu4HTMT" xfId="1271" xr:uid="{00000000-0005-0000-0000-000092050000}"/>
    <cellStyle name="3_Cau thuy dien Ban La (Cu Anh)_Bieu4HTMT_!1 1 bao cao giao KH ve HTCMT vung TNB   12-12-2011" xfId="1272" xr:uid="{00000000-0005-0000-0000-000093050000}"/>
    <cellStyle name="3_Cau thuy dien Ban La (Cu Anh)_Bieu4HTMT_KH TPCP vung TNB (03-1-2012)" xfId="1273" xr:uid="{00000000-0005-0000-0000-000094050000}"/>
    <cellStyle name="3_Cau thuy dien Ban La (Cu Anh)_KH TPCP vung TNB (03-1-2012)" xfId="1274" xr:uid="{00000000-0005-0000-0000-000095050000}"/>
    <cellStyle name="3_Du toan 558 (Km17+508.12 - Km 22)" xfId="1275" xr:uid="{00000000-0005-0000-0000-000096050000}"/>
    <cellStyle name="3_Du toan 558 (Km17+508.12 - Km 22)_!1 1 bao cao giao KH ve HTCMT vung TNB   12-12-2011" xfId="1276" xr:uid="{00000000-0005-0000-0000-000097050000}"/>
    <cellStyle name="3_Du toan 558 (Km17+508.12 - Km 22)_Bieu4HTMT" xfId="1277" xr:uid="{00000000-0005-0000-0000-000098050000}"/>
    <cellStyle name="3_Du toan 558 (Km17+508.12 - Km 22)_Bieu4HTMT_!1 1 bao cao giao KH ve HTCMT vung TNB   12-12-2011" xfId="1278" xr:uid="{00000000-0005-0000-0000-000099050000}"/>
    <cellStyle name="3_Du toan 558 (Km17+508.12 - Km 22)_Bieu4HTMT_KH TPCP vung TNB (03-1-2012)" xfId="1279" xr:uid="{00000000-0005-0000-0000-00009A050000}"/>
    <cellStyle name="3_Du toan 558 (Km17+508.12 - Km 22)_KH TPCP vung TNB (03-1-2012)" xfId="1280" xr:uid="{00000000-0005-0000-0000-00009B050000}"/>
    <cellStyle name="3_Gia_VLQL48_duyet " xfId="1281" xr:uid="{00000000-0005-0000-0000-00009C050000}"/>
    <cellStyle name="3_Gia_VLQL48_duyet _!1 1 bao cao giao KH ve HTCMT vung TNB   12-12-2011" xfId="1282" xr:uid="{00000000-0005-0000-0000-00009D050000}"/>
    <cellStyle name="3_Gia_VLQL48_duyet _Bieu4HTMT" xfId="1283" xr:uid="{00000000-0005-0000-0000-00009E050000}"/>
    <cellStyle name="3_Gia_VLQL48_duyet _Bieu4HTMT_!1 1 bao cao giao KH ve HTCMT vung TNB   12-12-2011" xfId="1284" xr:uid="{00000000-0005-0000-0000-00009F050000}"/>
    <cellStyle name="3_Gia_VLQL48_duyet _Bieu4HTMT_KH TPCP vung TNB (03-1-2012)" xfId="1285" xr:uid="{00000000-0005-0000-0000-0000A0050000}"/>
    <cellStyle name="3_Gia_VLQL48_duyet _KH TPCP vung TNB (03-1-2012)" xfId="1286" xr:uid="{00000000-0005-0000-0000-0000A1050000}"/>
    <cellStyle name="3_KlQdinhduyet" xfId="1287" xr:uid="{00000000-0005-0000-0000-0000A2050000}"/>
    <cellStyle name="3_KlQdinhduyet_!1 1 bao cao giao KH ve HTCMT vung TNB   12-12-2011" xfId="1288" xr:uid="{00000000-0005-0000-0000-0000A3050000}"/>
    <cellStyle name="3_KlQdinhduyet_Bieu4HTMT" xfId="1289" xr:uid="{00000000-0005-0000-0000-0000A4050000}"/>
    <cellStyle name="3_KlQdinhduyet_Bieu4HTMT_!1 1 bao cao giao KH ve HTCMT vung TNB   12-12-2011" xfId="1290" xr:uid="{00000000-0005-0000-0000-0000A5050000}"/>
    <cellStyle name="3_KlQdinhduyet_Bieu4HTMT_KH TPCP vung TNB (03-1-2012)" xfId="1291" xr:uid="{00000000-0005-0000-0000-0000A6050000}"/>
    <cellStyle name="3_KlQdinhduyet_KH TPCP vung TNB (03-1-2012)" xfId="1292" xr:uid="{00000000-0005-0000-0000-0000A7050000}"/>
    <cellStyle name="3_ÿÿÿÿÿ" xfId="1293" xr:uid="{00000000-0005-0000-0000-0000A8050000}"/>
    <cellStyle name="4" xfId="1294" xr:uid="{00000000-0005-0000-0000-0000A9050000}"/>
    <cellStyle name="4_Book1" xfId="1295" xr:uid="{00000000-0005-0000-0000-0000AA050000}"/>
    <cellStyle name="4_Book1_1" xfId="1296" xr:uid="{00000000-0005-0000-0000-0000AB050000}"/>
    <cellStyle name="4_Book1_1_!1 1 bao cao giao KH ve HTCMT vung TNB   12-12-2011" xfId="1297" xr:uid="{00000000-0005-0000-0000-0000AC050000}"/>
    <cellStyle name="4_Book1_1_Bieu4HTMT" xfId="1298" xr:uid="{00000000-0005-0000-0000-0000AD050000}"/>
    <cellStyle name="4_Book1_1_Bieu4HTMT_!1 1 bao cao giao KH ve HTCMT vung TNB   12-12-2011" xfId="1299" xr:uid="{00000000-0005-0000-0000-0000AE050000}"/>
    <cellStyle name="4_Book1_1_Bieu4HTMT_KH TPCP vung TNB (03-1-2012)" xfId="1300" xr:uid="{00000000-0005-0000-0000-0000AF050000}"/>
    <cellStyle name="4_Book1_1_KH TPCP vung TNB (03-1-2012)" xfId="1301" xr:uid="{00000000-0005-0000-0000-0000B0050000}"/>
    <cellStyle name="4_Cau thuy dien Ban La (Cu Anh)" xfId="1302" xr:uid="{00000000-0005-0000-0000-0000B1050000}"/>
    <cellStyle name="4_Cau thuy dien Ban La (Cu Anh)_!1 1 bao cao giao KH ve HTCMT vung TNB   12-12-2011" xfId="1303" xr:uid="{00000000-0005-0000-0000-0000B2050000}"/>
    <cellStyle name="4_Cau thuy dien Ban La (Cu Anh)_Bieu4HTMT" xfId="1304" xr:uid="{00000000-0005-0000-0000-0000B3050000}"/>
    <cellStyle name="4_Cau thuy dien Ban La (Cu Anh)_Bieu4HTMT_!1 1 bao cao giao KH ve HTCMT vung TNB   12-12-2011" xfId="1305" xr:uid="{00000000-0005-0000-0000-0000B4050000}"/>
    <cellStyle name="4_Cau thuy dien Ban La (Cu Anh)_Bieu4HTMT_KH TPCP vung TNB (03-1-2012)" xfId="1306" xr:uid="{00000000-0005-0000-0000-0000B5050000}"/>
    <cellStyle name="4_Cau thuy dien Ban La (Cu Anh)_KH TPCP vung TNB (03-1-2012)" xfId="1307" xr:uid="{00000000-0005-0000-0000-0000B6050000}"/>
    <cellStyle name="4_Du toan 558 (Km17+508.12 - Km 22)" xfId="1308" xr:uid="{00000000-0005-0000-0000-0000B7050000}"/>
    <cellStyle name="4_Du toan 558 (Km17+508.12 - Km 22)_!1 1 bao cao giao KH ve HTCMT vung TNB   12-12-2011" xfId="1309" xr:uid="{00000000-0005-0000-0000-0000B8050000}"/>
    <cellStyle name="4_Du toan 558 (Km17+508.12 - Km 22)_Bieu4HTMT" xfId="1310" xr:uid="{00000000-0005-0000-0000-0000B9050000}"/>
    <cellStyle name="4_Du toan 558 (Km17+508.12 - Km 22)_Bieu4HTMT_!1 1 bao cao giao KH ve HTCMT vung TNB   12-12-2011" xfId="1311" xr:uid="{00000000-0005-0000-0000-0000BA050000}"/>
    <cellStyle name="4_Du toan 558 (Km17+508.12 - Km 22)_Bieu4HTMT_KH TPCP vung TNB (03-1-2012)" xfId="1312" xr:uid="{00000000-0005-0000-0000-0000BB050000}"/>
    <cellStyle name="4_Du toan 558 (Km17+508.12 - Km 22)_KH TPCP vung TNB (03-1-2012)" xfId="1313" xr:uid="{00000000-0005-0000-0000-0000BC050000}"/>
    <cellStyle name="4_Gia_VLQL48_duyet " xfId="1314" xr:uid="{00000000-0005-0000-0000-0000BD050000}"/>
    <cellStyle name="4_Gia_VLQL48_duyet _!1 1 bao cao giao KH ve HTCMT vung TNB   12-12-2011" xfId="1315" xr:uid="{00000000-0005-0000-0000-0000BE050000}"/>
    <cellStyle name="4_Gia_VLQL48_duyet _Bieu4HTMT" xfId="1316" xr:uid="{00000000-0005-0000-0000-0000BF050000}"/>
    <cellStyle name="4_Gia_VLQL48_duyet _Bieu4HTMT_!1 1 bao cao giao KH ve HTCMT vung TNB   12-12-2011" xfId="1317" xr:uid="{00000000-0005-0000-0000-0000C0050000}"/>
    <cellStyle name="4_Gia_VLQL48_duyet _Bieu4HTMT_KH TPCP vung TNB (03-1-2012)" xfId="1318" xr:uid="{00000000-0005-0000-0000-0000C1050000}"/>
    <cellStyle name="4_Gia_VLQL48_duyet _KH TPCP vung TNB (03-1-2012)" xfId="1319" xr:uid="{00000000-0005-0000-0000-0000C2050000}"/>
    <cellStyle name="4_KlQdinhduyet" xfId="1320" xr:uid="{00000000-0005-0000-0000-0000C3050000}"/>
    <cellStyle name="4_KlQdinhduyet_!1 1 bao cao giao KH ve HTCMT vung TNB   12-12-2011" xfId="1321" xr:uid="{00000000-0005-0000-0000-0000C4050000}"/>
    <cellStyle name="4_KlQdinhduyet_Bieu4HTMT" xfId="1322" xr:uid="{00000000-0005-0000-0000-0000C5050000}"/>
    <cellStyle name="4_KlQdinhduyet_Bieu4HTMT_!1 1 bao cao giao KH ve HTCMT vung TNB   12-12-2011" xfId="1323" xr:uid="{00000000-0005-0000-0000-0000C6050000}"/>
    <cellStyle name="4_KlQdinhduyet_Bieu4HTMT_KH TPCP vung TNB (03-1-2012)" xfId="1324" xr:uid="{00000000-0005-0000-0000-0000C7050000}"/>
    <cellStyle name="4_KlQdinhduyet_KH TPCP vung TNB (03-1-2012)" xfId="1325" xr:uid="{00000000-0005-0000-0000-0000C8050000}"/>
    <cellStyle name="4_ÿÿÿÿÿ" xfId="1326" xr:uid="{00000000-0005-0000-0000-0000C9050000}"/>
    <cellStyle name="40% - Accent1 2" xfId="1327" xr:uid="{00000000-0005-0000-0000-0000CA050000}"/>
    <cellStyle name="40% - Accent2 2" xfId="1328" xr:uid="{00000000-0005-0000-0000-0000CB050000}"/>
    <cellStyle name="40% - Accent3 2" xfId="1329" xr:uid="{00000000-0005-0000-0000-0000CC050000}"/>
    <cellStyle name="40% - Accent4 2" xfId="1330" xr:uid="{00000000-0005-0000-0000-0000CD050000}"/>
    <cellStyle name="40% - Accent5 2" xfId="1331" xr:uid="{00000000-0005-0000-0000-0000CE050000}"/>
    <cellStyle name="40% - Accent6 2" xfId="1332" xr:uid="{00000000-0005-0000-0000-0000CF050000}"/>
    <cellStyle name="52" xfId="1333" xr:uid="{00000000-0005-0000-0000-0000D0050000}"/>
    <cellStyle name="6" xfId="1334" xr:uid="{00000000-0005-0000-0000-0000D1050000}"/>
    <cellStyle name="6_15_10_2013 BC nhu cau von doi ung ODA (2014-2016) ngay 15102013 Sua" xfId="1335" xr:uid="{00000000-0005-0000-0000-0000D2050000}"/>
    <cellStyle name="6_BC nhu cau von doi ung ODA nganh NN (BKH)" xfId="1336" xr:uid="{00000000-0005-0000-0000-0000D3050000}"/>
    <cellStyle name="6_BC nhu cau von doi ung ODA nganh NN (BKH)_05-12  KH trung han 2016-2020 - Liem Thinh edited" xfId="1337" xr:uid="{00000000-0005-0000-0000-0000D4050000}"/>
    <cellStyle name="6_BC nhu cau von doi ung ODA nganh NN (BKH)_Copy of 05-12  KH trung han 2016-2020 - Liem Thinh edited (1)" xfId="1338" xr:uid="{00000000-0005-0000-0000-0000D5050000}"/>
    <cellStyle name="6_BC Tai co cau (bieu TH)" xfId="1339" xr:uid="{00000000-0005-0000-0000-0000D6050000}"/>
    <cellStyle name="6_BC Tai co cau (bieu TH)_05-12  KH trung han 2016-2020 - Liem Thinh edited" xfId="1340" xr:uid="{00000000-0005-0000-0000-0000D7050000}"/>
    <cellStyle name="6_BC Tai co cau (bieu TH)_Copy of 05-12  KH trung han 2016-2020 - Liem Thinh edited (1)" xfId="1341" xr:uid="{00000000-0005-0000-0000-0000D8050000}"/>
    <cellStyle name="6_Cong trinh co y kien LD_Dang_NN_2011-Tay nguyen-9-10" xfId="1342" xr:uid="{00000000-0005-0000-0000-0000D9050000}"/>
    <cellStyle name="6_Cong trinh co y kien LD_Dang_NN_2011-Tay nguyen-9-10_!1 1 bao cao giao KH ve HTCMT vung TNB   12-12-2011" xfId="1343" xr:uid="{00000000-0005-0000-0000-0000DA050000}"/>
    <cellStyle name="6_Cong trinh co y kien LD_Dang_NN_2011-Tay nguyen-9-10_Bieu4HTMT" xfId="1344" xr:uid="{00000000-0005-0000-0000-0000DB050000}"/>
    <cellStyle name="6_Cong trinh co y kien LD_Dang_NN_2011-Tay nguyen-9-10_Bieu4HTMT_!1 1 bao cao giao KH ve HTCMT vung TNB   12-12-2011" xfId="1345" xr:uid="{00000000-0005-0000-0000-0000DC050000}"/>
    <cellStyle name="6_Cong trinh co y kien LD_Dang_NN_2011-Tay nguyen-9-10_Bieu4HTMT_KH TPCP vung TNB (03-1-2012)" xfId="1346" xr:uid="{00000000-0005-0000-0000-0000DD050000}"/>
    <cellStyle name="6_Cong trinh co y kien LD_Dang_NN_2011-Tay nguyen-9-10_KH TPCP vung TNB (03-1-2012)" xfId="1347" xr:uid="{00000000-0005-0000-0000-0000DE050000}"/>
    <cellStyle name="6_DK 2014-2015 final" xfId="1348" xr:uid="{00000000-0005-0000-0000-0000DF050000}"/>
    <cellStyle name="6_DK 2014-2015 final_05-12  KH trung han 2016-2020 - Liem Thinh edited" xfId="1349" xr:uid="{00000000-0005-0000-0000-0000E0050000}"/>
    <cellStyle name="6_DK 2014-2015 final_Copy of 05-12  KH trung han 2016-2020 - Liem Thinh edited (1)" xfId="1350" xr:uid="{00000000-0005-0000-0000-0000E1050000}"/>
    <cellStyle name="6_DK 2014-2015 new" xfId="1351" xr:uid="{00000000-0005-0000-0000-0000E2050000}"/>
    <cellStyle name="6_DK 2014-2015 new_05-12  KH trung han 2016-2020 - Liem Thinh edited" xfId="1352" xr:uid="{00000000-0005-0000-0000-0000E3050000}"/>
    <cellStyle name="6_DK 2014-2015 new_Copy of 05-12  KH trung han 2016-2020 - Liem Thinh edited (1)" xfId="1353" xr:uid="{00000000-0005-0000-0000-0000E4050000}"/>
    <cellStyle name="6_DK KH CBDT 2014 11-11-2013" xfId="1354" xr:uid="{00000000-0005-0000-0000-0000E5050000}"/>
    <cellStyle name="6_DK KH CBDT 2014 11-11-2013(1)" xfId="1355" xr:uid="{00000000-0005-0000-0000-0000E6050000}"/>
    <cellStyle name="6_DK KH CBDT 2014 11-11-2013(1)_05-12  KH trung han 2016-2020 - Liem Thinh edited" xfId="1356" xr:uid="{00000000-0005-0000-0000-0000E7050000}"/>
    <cellStyle name="6_DK KH CBDT 2014 11-11-2013(1)_Copy of 05-12  KH trung han 2016-2020 - Liem Thinh edited (1)" xfId="1357" xr:uid="{00000000-0005-0000-0000-0000E8050000}"/>
    <cellStyle name="6_DK KH CBDT 2014 11-11-2013_05-12  KH trung han 2016-2020 - Liem Thinh edited" xfId="1358" xr:uid="{00000000-0005-0000-0000-0000E9050000}"/>
    <cellStyle name="6_DK KH CBDT 2014 11-11-2013_Copy of 05-12  KH trung han 2016-2020 - Liem Thinh edited (1)" xfId="1359" xr:uid="{00000000-0005-0000-0000-0000EA050000}"/>
    <cellStyle name="6_KH 2011-2015" xfId="1360" xr:uid="{00000000-0005-0000-0000-0000EB050000}"/>
    <cellStyle name="6_tai co cau dau tu (tong hop)1" xfId="1361" xr:uid="{00000000-0005-0000-0000-0000EC050000}"/>
    <cellStyle name="6_TN - Ho tro khac 2011" xfId="1362" xr:uid="{00000000-0005-0000-0000-0000ED050000}"/>
    <cellStyle name="6_TN - Ho tro khac 2011_!1 1 bao cao giao KH ve HTCMT vung TNB   12-12-2011" xfId="1363" xr:uid="{00000000-0005-0000-0000-0000EE050000}"/>
    <cellStyle name="6_TN - Ho tro khac 2011_Bieu4HTMT" xfId="1364" xr:uid="{00000000-0005-0000-0000-0000EF050000}"/>
    <cellStyle name="6_TN - Ho tro khac 2011_Bieu4HTMT_!1 1 bao cao giao KH ve HTCMT vung TNB   12-12-2011" xfId="1365" xr:uid="{00000000-0005-0000-0000-0000F0050000}"/>
    <cellStyle name="6_TN - Ho tro khac 2011_Bieu4HTMT_KH TPCP vung TNB (03-1-2012)" xfId="1366" xr:uid="{00000000-0005-0000-0000-0000F1050000}"/>
    <cellStyle name="6_TN - Ho tro khac 2011_KH TPCP vung TNB (03-1-2012)" xfId="1367" xr:uid="{00000000-0005-0000-0000-0000F2050000}"/>
    <cellStyle name="60% - Accent1 2" xfId="1368" xr:uid="{00000000-0005-0000-0000-0000F3050000}"/>
    <cellStyle name="60% - Accent2 2" xfId="1369" xr:uid="{00000000-0005-0000-0000-0000F4050000}"/>
    <cellStyle name="60% - Accent3 2" xfId="1370" xr:uid="{00000000-0005-0000-0000-0000F5050000}"/>
    <cellStyle name="60% - Accent4 2" xfId="1371" xr:uid="{00000000-0005-0000-0000-0000F6050000}"/>
    <cellStyle name="60% - Accent5 2" xfId="1372" xr:uid="{00000000-0005-0000-0000-0000F7050000}"/>
    <cellStyle name="60% - Accent6 2" xfId="1373" xr:uid="{00000000-0005-0000-0000-0000F8050000}"/>
    <cellStyle name="9" xfId="1374" xr:uid="{00000000-0005-0000-0000-0000F9050000}"/>
    <cellStyle name="9_!1 1 bao cao giao KH ve HTCMT vung TNB   12-12-2011" xfId="1375" xr:uid="{00000000-0005-0000-0000-0000FA050000}"/>
    <cellStyle name="9_Bieu4HTMT" xfId="1376" xr:uid="{00000000-0005-0000-0000-0000FB050000}"/>
    <cellStyle name="9_Bieu4HTMT_!1 1 bao cao giao KH ve HTCMT vung TNB   12-12-2011" xfId="1377" xr:uid="{00000000-0005-0000-0000-0000FC050000}"/>
    <cellStyle name="9_Bieu4HTMT_KH TPCP vung TNB (03-1-2012)" xfId="1378" xr:uid="{00000000-0005-0000-0000-0000FD050000}"/>
    <cellStyle name="9_KH TPCP vung TNB (03-1-2012)" xfId="1379" xr:uid="{00000000-0005-0000-0000-0000FE050000}"/>
    <cellStyle name="Accent1 2" xfId="1380" xr:uid="{00000000-0005-0000-0000-0000FF050000}"/>
    <cellStyle name="Accent2 2" xfId="1381" xr:uid="{00000000-0005-0000-0000-000000060000}"/>
    <cellStyle name="Accent3 2" xfId="1382" xr:uid="{00000000-0005-0000-0000-000001060000}"/>
    <cellStyle name="Accent4 2" xfId="1383" xr:uid="{00000000-0005-0000-0000-000002060000}"/>
    <cellStyle name="Accent5 2" xfId="1384" xr:uid="{00000000-0005-0000-0000-000003060000}"/>
    <cellStyle name="Accent6 2" xfId="1385" xr:uid="{00000000-0005-0000-0000-000004060000}"/>
    <cellStyle name="ÅëÈ­ [0]_      " xfId="1386" xr:uid="{00000000-0005-0000-0000-000005060000}"/>
    <cellStyle name="AeE­ [0]_INQUIRY ¿?¾÷AßAø " xfId="1387" xr:uid="{00000000-0005-0000-0000-000006060000}"/>
    <cellStyle name="ÅëÈ­ [0]_L601CPT" xfId="1388" xr:uid="{00000000-0005-0000-0000-000007060000}"/>
    <cellStyle name="ÅëÈ­_      " xfId="1389" xr:uid="{00000000-0005-0000-0000-000008060000}"/>
    <cellStyle name="AeE­_INQUIRY ¿?¾÷AßAø " xfId="1390" xr:uid="{00000000-0005-0000-0000-000009060000}"/>
    <cellStyle name="ÅëÈ­_L601CPT" xfId="1391" xr:uid="{00000000-0005-0000-0000-00000A060000}"/>
    <cellStyle name="args.style" xfId="1392" xr:uid="{00000000-0005-0000-0000-00000B060000}"/>
    <cellStyle name="args.style 2" xfId="1393" xr:uid="{00000000-0005-0000-0000-00000C060000}"/>
    <cellStyle name="at" xfId="1394" xr:uid="{00000000-0005-0000-0000-00000D060000}"/>
    <cellStyle name="ÄÞ¸¶ [0]_      " xfId="1395" xr:uid="{00000000-0005-0000-0000-00000E060000}"/>
    <cellStyle name="AÞ¸¶ [0]_INQUIRY ¿?¾÷AßAø " xfId="1396" xr:uid="{00000000-0005-0000-0000-00000F060000}"/>
    <cellStyle name="ÄÞ¸¶ [0]_L601CPT" xfId="1397" xr:uid="{00000000-0005-0000-0000-000010060000}"/>
    <cellStyle name="ÄÞ¸¶_      " xfId="1398" xr:uid="{00000000-0005-0000-0000-000011060000}"/>
    <cellStyle name="AÞ¸¶_INQUIRY ¿?¾÷AßAø " xfId="1399" xr:uid="{00000000-0005-0000-0000-000012060000}"/>
    <cellStyle name="ÄÞ¸¶_L601CPT" xfId="1400" xr:uid="{00000000-0005-0000-0000-000013060000}"/>
    <cellStyle name="AutoFormat Options" xfId="1401" xr:uid="{00000000-0005-0000-0000-000014060000}"/>
    <cellStyle name="AutoFormat Options 2" xfId="1402" xr:uid="{00000000-0005-0000-0000-000015060000}"/>
    <cellStyle name="Bad 2" xfId="1403" xr:uid="{00000000-0005-0000-0000-000016060000}"/>
    <cellStyle name="Bad 2 2" xfId="4451" xr:uid="{00000000-0005-0000-0000-000017060000}"/>
    <cellStyle name="Bình thường 2" xfId="4452" xr:uid="{00000000-0005-0000-0000-000018060000}"/>
    <cellStyle name="Body" xfId="1404" xr:uid="{00000000-0005-0000-0000-000019060000}"/>
    <cellStyle name="C?AØ_¿?¾÷CoE² " xfId="1405" xr:uid="{00000000-0005-0000-0000-00001A060000}"/>
    <cellStyle name="C~1" xfId="1406" xr:uid="{00000000-0005-0000-0000-00001B060000}"/>
    <cellStyle name="Ç¥ÁØ_      " xfId="1407" xr:uid="{00000000-0005-0000-0000-00001C060000}"/>
    <cellStyle name="C￥AØ_¿μ¾÷CoE² " xfId="1408" xr:uid="{00000000-0005-0000-0000-00001D060000}"/>
    <cellStyle name="Ç¥ÁØ_±¸¹Ì´ëÃ¥" xfId="1409" xr:uid="{00000000-0005-0000-0000-00001E060000}"/>
    <cellStyle name="C￥AØ_Sheet1_¿μ¾÷CoE² " xfId="1410" xr:uid="{00000000-0005-0000-0000-00001F060000}"/>
    <cellStyle name="Ç¥ÁØ_ÿÿÿÿÿÿ_4_ÃÑÇÕ°è " xfId="1411" xr:uid="{00000000-0005-0000-0000-000020060000}"/>
    <cellStyle name="Calc Currency (0)" xfId="1412" xr:uid="{00000000-0005-0000-0000-000021060000}"/>
    <cellStyle name="Calc Currency (0) 2" xfId="1413" xr:uid="{00000000-0005-0000-0000-000022060000}"/>
    <cellStyle name="Calc Currency (0) 2 2" xfId="4453" xr:uid="{00000000-0005-0000-0000-000023060000}"/>
    <cellStyle name="Calc Currency (2)" xfId="1414" xr:uid="{00000000-0005-0000-0000-000024060000}"/>
    <cellStyle name="Calc Currency (2) 10" xfId="1415" xr:uid="{00000000-0005-0000-0000-000025060000}"/>
    <cellStyle name="Calc Currency (2) 11" xfId="1416" xr:uid="{00000000-0005-0000-0000-000026060000}"/>
    <cellStyle name="Calc Currency (2) 12" xfId="1417" xr:uid="{00000000-0005-0000-0000-000027060000}"/>
    <cellStyle name="Calc Currency (2) 13" xfId="1418" xr:uid="{00000000-0005-0000-0000-000028060000}"/>
    <cellStyle name="Calc Currency (2) 14" xfId="1419" xr:uid="{00000000-0005-0000-0000-000029060000}"/>
    <cellStyle name="Calc Currency (2) 15" xfId="1420" xr:uid="{00000000-0005-0000-0000-00002A060000}"/>
    <cellStyle name="Calc Currency (2) 16" xfId="1421" xr:uid="{00000000-0005-0000-0000-00002B060000}"/>
    <cellStyle name="Calc Currency (2) 2" xfId="1422" xr:uid="{00000000-0005-0000-0000-00002C060000}"/>
    <cellStyle name="Calc Currency (2) 3" xfId="1423" xr:uid="{00000000-0005-0000-0000-00002D060000}"/>
    <cellStyle name="Calc Currency (2) 4" xfId="1424" xr:uid="{00000000-0005-0000-0000-00002E060000}"/>
    <cellStyle name="Calc Currency (2) 5" xfId="1425" xr:uid="{00000000-0005-0000-0000-00002F060000}"/>
    <cellStyle name="Calc Currency (2) 6" xfId="1426" xr:uid="{00000000-0005-0000-0000-000030060000}"/>
    <cellStyle name="Calc Currency (2) 7" xfId="1427" xr:uid="{00000000-0005-0000-0000-000031060000}"/>
    <cellStyle name="Calc Currency (2) 8" xfId="1428" xr:uid="{00000000-0005-0000-0000-000032060000}"/>
    <cellStyle name="Calc Currency (2) 9" xfId="1429" xr:uid="{00000000-0005-0000-0000-000033060000}"/>
    <cellStyle name="Calc Percent (0)" xfId="1430" xr:uid="{00000000-0005-0000-0000-000034060000}"/>
    <cellStyle name="Calc Percent (0) 10" xfId="1431" xr:uid="{00000000-0005-0000-0000-000035060000}"/>
    <cellStyle name="Calc Percent (0) 11" xfId="1432" xr:uid="{00000000-0005-0000-0000-000036060000}"/>
    <cellStyle name="Calc Percent (0) 12" xfId="1433" xr:uid="{00000000-0005-0000-0000-000037060000}"/>
    <cellStyle name="Calc Percent (0) 13" xfId="1434" xr:uid="{00000000-0005-0000-0000-000038060000}"/>
    <cellStyle name="Calc Percent (0) 14" xfId="1435" xr:uid="{00000000-0005-0000-0000-000039060000}"/>
    <cellStyle name="Calc Percent (0) 15" xfId="1436" xr:uid="{00000000-0005-0000-0000-00003A060000}"/>
    <cellStyle name="Calc Percent (0) 16" xfId="1437" xr:uid="{00000000-0005-0000-0000-00003B060000}"/>
    <cellStyle name="Calc Percent (0) 2" xfId="1438" xr:uid="{00000000-0005-0000-0000-00003C060000}"/>
    <cellStyle name="Calc Percent (0) 3" xfId="1439" xr:uid="{00000000-0005-0000-0000-00003D060000}"/>
    <cellStyle name="Calc Percent (0) 4" xfId="1440" xr:uid="{00000000-0005-0000-0000-00003E060000}"/>
    <cellStyle name="Calc Percent (0) 5" xfId="1441" xr:uid="{00000000-0005-0000-0000-00003F060000}"/>
    <cellStyle name="Calc Percent (0) 6" xfId="1442" xr:uid="{00000000-0005-0000-0000-000040060000}"/>
    <cellStyle name="Calc Percent (0) 7" xfId="1443" xr:uid="{00000000-0005-0000-0000-000041060000}"/>
    <cellStyle name="Calc Percent (0) 8" xfId="1444" xr:uid="{00000000-0005-0000-0000-000042060000}"/>
    <cellStyle name="Calc Percent (0) 9" xfId="1445" xr:uid="{00000000-0005-0000-0000-000043060000}"/>
    <cellStyle name="Calc Percent (1)" xfId="1446" xr:uid="{00000000-0005-0000-0000-000044060000}"/>
    <cellStyle name="Calc Percent (1) 10" xfId="1447" xr:uid="{00000000-0005-0000-0000-000045060000}"/>
    <cellStyle name="Calc Percent (1) 11" xfId="1448" xr:uid="{00000000-0005-0000-0000-000046060000}"/>
    <cellStyle name="Calc Percent (1) 12" xfId="1449" xr:uid="{00000000-0005-0000-0000-000047060000}"/>
    <cellStyle name="Calc Percent (1) 13" xfId="1450" xr:uid="{00000000-0005-0000-0000-000048060000}"/>
    <cellStyle name="Calc Percent (1) 14" xfId="1451" xr:uid="{00000000-0005-0000-0000-000049060000}"/>
    <cellStyle name="Calc Percent (1) 15" xfId="1452" xr:uid="{00000000-0005-0000-0000-00004A060000}"/>
    <cellStyle name="Calc Percent (1) 16" xfId="1453" xr:uid="{00000000-0005-0000-0000-00004B060000}"/>
    <cellStyle name="Calc Percent (1) 2" xfId="1454" xr:uid="{00000000-0005-0000-0000-00004C060000}"/>
    <cellStyle name="Calc Percent (1) 3" xfId="1455" xr:uid="{00000000-0005-0000-0000-00004D060000}"/>
    <cellStyle name="Calc Percent (1) 4" xfId="1456" xr:uid="{00000000-0005-0000-0000-00004E060000}"/>
    <cellStyle name="Calc Percent (1) 5" xfId="1457" xr:uid="{00000000-0005-0000-0000-00004F060000}"/>
    <cellStyle name="Calc Percent (1) 6" xfId="1458" xr:uid="{00000000-0005-0000-0000-000050060000}"/>
    <cellStyle name="Calc Percent (1) 7" xfId="1459" xr:uid="{00000000-0005-0000-0000-000051060000}"/>
    <cellStyle name="Calc Percent (1) 8" xfId="1460" xr:uid="{00000000-0005-0000-0000-000052060000}"/>
    <cellStyle name="Calc Percent (1) 9" xfId="1461" xr:uid="{00000000-0005-0000-0000-000053060000}"/>
    <cellStyle name="Calc Percent (2)" xfId="1462" xr:uid="{00000000-0005-0000-0000-000054060000}"/>
    <cellStyle name="Calc Percent (2) 10" xfId="1463" xr:uid="{00000000-0005-0000-0000-000055060000}"/>
    <cellStyle name="Calc Percent (2) 11" xfId="1464" xr:uid="{00000000-0005-0000-0000-000056060000}"/>
    <cellStyle name="Calc Percent (2) 12" xfId="1465" xr:uid="{00000000-0005-0000-0000-000057060000}"/>
    <cellStyle name="Calc Percent (2) 13" xfId="1466" xr:uid="{00000000-0005-0000-0000-000058060000}"/>
    <cellStyle name="Calc Percent (2) 14" xfId="1467" xr:uid="{00000000-0005-0000-0000-000059060000}"/>
    <cellStyle name="Calc Percent (2) 15" xfId="1468" xr:uid="{00000000-0005-0000-0000-00005A060000}"/>
    <cellStyle name="Calc Percent (2) 16" xfId="1469" xr:uid="{00000000-0005-0000-0000-00005B060000}"/>
    <cellStyle name="Calc Percent (2) 2" xfId="1470" xr:uid="{00000000-0005-0000-0000-00005C060000}"/>
    <cellStyle name="Calc Percent (2) 3" xfId="1471" xr:uid="{00000000-0005-0000-0000-00005D060000}"/>
    <cellStyle name="Calc Percent (2) 4" xfId="1472" xr:uid="{00000000-0005-0000-0000-00005E060000}"/>
    <cellStyle name="Calc Percent (2) 5" xfId="1473" xr:uid="{00000000-0005-0000-0000-00005F060000}"/>
    <cellStyle name="Calc Percent (2) 6" xfId="1474" xr:uid="{00000000-0005-0000-0000-000060060000}"/>
    <cellStyle name="Calc Percent (2) 7" xfId="1475" xr:uid="{00000000-0005-0000-0000-000061060000}"/>
    <cellStyle name="Calc Percent (2) 8" xfId="1476" xr:uid="{00000000-0005-0000-0000-000062060000}"/>
    <cellStyle name="Calc Percent (2) 9" xfId="1477" xr:uid="{00000000-0005-0000-0000-000063060000}"/>
    <cellStyle name="Calc Units (0)" xfId="1478" xr:uid="{00000000-0005-0000-0000-000064060000}"/>
    <cellStyle name="Calc Units (0) 10" xfId="1479" xr:uid="{00000000-0005-0000-0000-000065060000}"/>
    <cellStyle name="Calc Units (0) 11" xfId="1480" xr:uid="{00000000-0005-0000-0000-000066060000}"/>
    <cellStyle name="Calc Units (0) 12" xfId="1481" xr:uid="{00000000-0005-0000-0000-000067060000}"/>
    <cellStyle name="Calc Units (0) 13" xfId="1482" xr:uid="{00000000-0005-0000-0000-000068060000}"/>
    <cellStyle name="Calc Units (0) 14" xfId="1483" xr:uid="{00000000-0005-0000-0000-000069060000}"/>
    <cellStyle name="Calc Units (0) 15" xfId="1484" xr:uid="{00000000-0005-0000-0000-00006A060000}"/>
    <cellStyle name="Calc Units (0) 16" xfId="1485" xr:uid="{00000000-0005-0000-0000-00006B060000}"/>
    <cellStyle name="Calc Units (0) 2" xfId="1486" xr:uid="{00000000-0005-0000-0000-00006C060000}"/>
    <cellStyle name="Calc Units (0) 3" xfId="1487" xr:uid="{00000000-0005-0000-0000-00006D060000}"/>
    <cellStyle name="Calc Units (0) 4" xfId="1488" xr:uid="{00000000-0005-0000-0000-00006E060000}"/>
    <cellStyle name="Calc Units (0) 5" xfId="1489" xr:uid="{00000000-0005-0000-0000-00006F060000}"/>
    <cellStyle name="Calc Units (0) 6" xfId="1490" xr:uid="{00000000-0005-0000-0000-000070060000}"/>
    <cellStyle name="Calc Units (0) 7" xfId="1491" xr:uid="{00000000-0005-0000-0000-000071060000}"/>
    <cellStyle name="Calc Units (0) 8" xfId="1492" xr:uid="{00000000-0005-0000-0000-000072060000}"/>
    <cellStyle name="Calc Units (0) 9" xfId="1493" xr:uid="{00000000-0005-0000-0000-000073060000}"/>
    <cellStyle name="Calc Units (1)" xfId="1494" xr:uid="{00000000-0005-0000-0000-000074060000}"/>
    <cellStyle name="Calc Units (1) 10" xfId="1495" xr:uid="{00000000-0005-0000-0000-000075060000}"/>
    <cellStyle name="Calc Units (1) 11" xfId="1496" xr:uid="{00000000-0005-0000-0000-000076060000}"/>
    <cellStyle name="Calc Units (1) 12" xfId="1497" xr:uid="{00000000-0005-0000-0000-000077060000}"/>
    <cellStyle name="Calc Units (1) 13" xfId="1498" xr:uid="{00000000-0005-0000-0000-000078060000}"/>
    <cellStyle name="Calc Units (1) 14" xfId="1499" xr:uid="{00000000-0005-0000-0000-000079060000}"/>
    <cellStyle name="Calc Units (1) 15" xfId="1500" xr:uid="{00000000-0005-0000-0000-00007A060000}"/>
    <cellStyle name="Calc Units (1) 16" xfId="1501" xr:uid="{00000000-0005-0000-0000-00007B060000}"/>
    <cellStyle name="Calc Units (1) 2" xfId="1502" xr:uid="{00000000-0005-0000-0000-00007C060000}"/>
    <cellStyle name="Calc Units (1) 3" xfId="1503" xr:uid="{00000000-0005-0000-0000-00007D060000}"/>
    <cellStyle name="Calc Units (1) 4" xfId="1504" xr:uid="{00000000-0005-0000-0000-00007E060000}"/>
    <cellStyle name="Calc Units (1) 5" xfId="1505" xr:uid="{00000000-0005-0000-0000-00007F060000}"/>
    <cellStyle name="Calc Units (1) 6" xfId="1506" xr:uid="{00000000-0005-0000-0000-000080060000}"/>
    <cellStyle name="Calc Units (1) 7" xfId="1507" xr:uid="{00000000-0005-0000-0000-000081060000}"/>
    <cellStyle name="Calc Units (1) 8" xfId="1508" xr:uid="{00000000-0005-0000-0000-000082060000}"/>
    <cellStyle name="Calc Units (1) 9" xfId="1509" xr:uid="{00000000-0005-0000-0000-000083060000}"/>
    <cellStyle name="Calc Units (2)" xfId="1510" xr:uid="{00000000-0005-0000-0000-000084060000}"/>
    <cellStyle name="Calc Units (2) 10" xfId="1511" xr:uid="{00000000-0005-0000-0000-000085060000}"/>
    <cellStyle name="Calc Units (2) 11" xfId="1512" xr:uid="{00000000-0005-0000-0000-000086060000}"/>
    <cellStyle name="Calc Units (2) 12" xfId="1513" xr:uid="{00000000-0005-0000-0000-000087060000}"/>
    <cellStyle name="Calc Units (2) 13" xfId="1514" xr:uid="{00000000-0005-0000-0000-000088060000}"/>
    <cellStyle name="Calc Units (2) 14" xfId="1515" xr:uid="{00000000-0005-0000-0000-000089060000}"/>
    <cellStyle name="Calc Units (2) 15" xfId="1516" xr:uid="{00000000-0005-0000-0000-00008A060000}"/>
    <cellStyle name="Calc Units (2) 16" xfId="1517" xr:uid="{00000000-0005-0000-0000-00008B060000}"/>
    <cellStyle name="Calc Units (2) 2" xfId="1518" xr:uid="{00000000-0005-0000-0000-00008C060000}"/>
    <cellStyle name="Calc Units (2) 3" xfId="1519" xr:uid="{00000000-0005-0000-0000-00008D060000}"/>
    <cellStyle name="Calc Units (2) 4" xfId="1520" xr:uid="{00000000-0005-0000-0000-00008E060000}"/>
    <cellStyle name="Calc Units (2) 5" xfId="1521" xr:uid="{00000000-0005-0000-0000-00008F060000}"/>
    <cellStyle name="Calc Units (2) 6" xfId="1522" xr:uid="{00000000-0005-0000-0000-000090060000}"/>
    <cellStyle name="Calc Units (2) 7" xfId="1523" xr:uid="{00000000-0005-0000-0000-000091060000}"/>
    <cellStyle name="Calc Units (2) 8" xfId="1524" xr:uid="{00000000-0005-0000-0000-000092060000}"/>
    <cellStyle name="Calc Units (2) 9" xfId="1525" xr:uid="{00000000-0005-0000-0000-000093060000}"/>
    <cellStyle name="Calculation 2" xfId="1526" xr:uid="{00000000-0005-0000-0000-000094060000}"/>
    <cellStyle name="category" xfId="1527" xr:uid="{00000000-0005-0000-0000-000095060000}"/>
    <cellStyle name="category 2" xfId="1528" xr:uid="{00000000-0005-0000-0000-000096060000}"/>
    <cellStyle name="Centered Heading" xfId="1529" xr:uid="{00000000-0005-0000-0000-000097060000}"/>
    <cellStyle name="Cerrency_Sheet2_XANGDAU" xfId="1530" xr:uid="{00000000-0005-0000-0000-000098060000}"/>
    <cellStyle name="Check Cell 2" xfId="2046" xr:uid="{00000000-0005-0000-0000-000099060000}"/>
    <cellStyle name="Chi phÝ kh¸c_Book1" xfId="2047" xr:uid="{00000000-0005-0000-0000-00009A060000}"/>
    <cellStyle name="CHUONG" xfId="2048" xr:uid="{00000000-0005-0000-0000-00009B060000}"/>
    <cellStyle name="Column_Title" xfId="1531" xr:uid="{00000000-0005-0000-0000-00009C060000}"/>
    <cellStyle name="Comma" xfId="4260" builtinId="3"/>
    <cellStyle name="Comma  - Style1" xfId="1532" xr:uid="{00000000-0005-0000-0000-00009E060000}"/>
    <cellStyle name="Comma  - Style2" xfId="1533" xr:uid="{00000000-0005-0000-0000-00009F060000}"/>
    <cellStyle name="Comma  - Style3" xfId="1534" xr:uid="{00000000-0005-0000-0000-0000A0060000}"/>
    <cellStyle name="Comma  - Style4" xfId="1535" xr:uid="{00000000-0005-0000-0000-0000A1060000}"/>
    <cellStyle name="Comma  - Style5" xfId="1536" xr:uid="{00000000-0005-0000-0000-0000A2060000}"/>
    <cellStyle name="Comma  - Style6" xfId="1537" xr:uid="{00000000-0005-0000-0000-0000A3060000}"/>
    <cellStyle name="Comma  - Style7" xfId="1538" xr:uid="{00000000-0005-0000-0000-0000A4060000}"/>
    <cellStyle name="Comma  - Style8" xfId="1539" xr:uid="{00000000-0005-0000-0000-0000A5060000}"/>
    <cellStyle name="Comma %" xfId="1540" xr:uid="{00000000-0005-0000-0000-0000A6060000}"/>
    <cellStyle name="Comma % 10" xfId="1541" xr:uid="{00000000-0005-0000-0000-0000A7060000}"/>
    <cellStyle name="Comma % 11" xfId="1542" xr:uid="{00000000-0005-0000-0000-0000A8060000}"/>
    <cellStyle name="Comma % 12" xfId="1543" xr:uid="{00000000-0005-0000-0000-0000A9060000}"/>
    <cellStyle name="Comma % 13" xfId="1544" xr:uid="{00000000-0005-0000-0000-0000AA060000}"/>
    <cellStyle name="Comma % 14" xfId="1545" xr:uid="{00000000-0005-0000-0000-0000AB060000}"/>
    <cellStyle name="Comma % 15" xfId="1546" xr:uid="{00000000-0005-0000-0000-0000AC060000}"/>
    <cellStyle name="Comma % 2" xfId="1547" xr:uid="{00000000-0005-0000-0000-0000AD060000}"/>
    <cellStyle name="Comma % 3" xfId="1548" xr:uid="{00000000-0005-0000-0000-0000AE060000}"/>
    <cellStyle name="Comma % 4" xfId="1549" xr:uid="{00000000-0005-0000-0000-0000AF060000}"/>
    <cellStyle name="Comma % 5" xfId="1550" xr:uid="{00000000-0005-0000-0000-0000B0060000}"/>
    <cellStyle name="Comma % 6" xfId="1551" xr:uid="{00000000-0005-0000-0000-0000B1060000}"/>
    <cellStyle name="Comma % 7" xfId="1552" xr:uid="{00000000-0005-0000-0000-0000B2060000}"/>
    <cellStyle name="Comma % 8" xfId="1553" xr:uid="{00000000-0005-0000-0000-0000B3060000}"/>
    <cellStyle name="Comma % 9" xfId="1554" xr:uid="{00000000-0005-0000-0000-0000B4060000}"/>
    <cellStyle name="Comma [0] 10" xfId="1555" xr:uid="{00000000-0005-0000-0000-0000B5060000}"/>
    <cellStyle name="Comma [0] 11" xfId="1556" xr:uid="{00000000-0005-0000-0000-0000B6060000}"/>
    <cellStyle name="Comma [0] 2" xfId="1557" xr:uid="{00000000-0005-0000-0000-0000B7060000}"/>
    <cellStyle name="Comma [0] 2 10" xfId="1558" xr:uid="{00000000-0005-0000-0000-0000B8060000}"/>
    <cellStyle name="Comma [0] 2 10 2" xfId="4456" xr:uid="{00000000-0005-0000-0000-0000B9060000}"/>
    <cellStyle name="Comma [0] 2 10 3" xfId="4455" xr:uid="{00000000-0005-0000-0000-0000BA060000}"/>
    <cellStyle name="Comma [0] 2 11" xfId="1559" xr:uid="{00000000-0005-0000-0000-0000BB060000}"/>
    <cellStyle name="Comma [0] 2 11 2" xfId="4458" xr:uid="{00000000-0005-0000-0000-0000BC060000}"/>
    <cellStyle name="Comma [0] 2 11 3" xfId="4457" xr:uid="{00000000-0005-0000-0000-0000BD060000}"/>
    <cellStyle name="Comma [0] 2 12" xfId="1560" xr:uid="{00000000-0005-0000-0000-0000BE060000}"/>
    <cellStyle name="Comma [0] 2 12 2" xfId="4460" xr:uid="{00000000-0005-0000-0000-0000BF060000}"/>
    <cellStyle name="Comma [0] 2 12 3" xfId="4459" xr:uid="{00000000-0005-0000-0000-0000C0060000}"/>
    <cellStyle name="Comma [0] 2 13" xfId="1561" xr:uid="{00000000-0005-0000-0000-0000C1060000}"/>
    <cellStyle name="Comma [0] 2 13 2" xfId="4462" xr:uid="{00000000-0005-0000-0000-0000C2060000}"/>
    <cellStyle name="Comma [0] 2 13 3" xfId="4461" xr:uid="{00000000-0005-0000-0000-0000C3060000}"/>
    <cellStyle name="Comma [0] 2 14" xfId="1562" xr:uid="{00000000-0005-0000-0000-0000C4060000}"/>
    <cellStyle name="Comma [0] 2 14 2" xfId="4464" xr:uid="{00000000-0005-0000-0000-0000C5060000}"/>
    <cellStyle name="Comma [0] 2 14 3" xfId="4463" xr:uid="{00000000-0005-0000-0000-0000C6060000}"/>
    <cellStyle name="Comma [0] 2 15" xfId="1563" xr:uid="{00000000-0005-0000-0000-0000C7060000}"/>
    <cellStyle name="Comma [0] 2 15 2" xfId="4466" xr:uid="{00000000-0005-0000-0000-0000C8060000}"/>
    <cellStyle name="Comma [0] 2 15 3" xfId="4465" xr:uid="{00000000-0005-0000-0000-0000C9060000}"/>
    <cellStyle name="Comma [0] 2 16" xfId="1564" xr:uid="{00000000-0005-0000-0000-0000CA060000}"/>
    <cellStyle name="Comma [0] 2 16 2" xfId="4468" xr:uid="{00000000-0005-0000-0000-0000CB060000}"/>
    <cellStyle name="Comma [0] 2 16 3" xfId="4467" xr:uid="{00000000-0005-0000-0000-0000CC060000}"/>
    <cellStyle name="Comma [0] 2 17" xfId="1565" xr:uid="{00000000-0005-0000-0000-0000CD060000}"/>
    <cellStyle name="Comma [0] 2 17 2" xfId="4470" xr:uid="{00000000-0005-0000-0000-0000CE060000}"/>
    <cellStyle name="Comma [0] 2 17 3" xfId="4469" xr:uid="{00000000-0005-0000-0000-0000CF060000}"/>
    <cellStyle name="Comma [0] 2 18" xfId="1566" xr:uid="{00000000-0005-0000-0000-0000D0060000}"/>
    <cellStyle name="Comma [0] 2 18 2" xfId="4472" xr:uid="{00000000-0005-0000-0000-0000D1060000}"/>
    <cellStyle name="Comma [0] 2 18 3" xfId="4471" xr:uid="{00000000-0005-0000-0000-0000D2060000}"/>
    <cellStyle name="Comma [0] 2 19" xfId="1567" xr:uid="{00000000-0005-0000-0000-0000D3060000}"/>
    <cellStyle name="Comma [0] 2 19 2" xfId="4474" xr:uid="{00000000-0005-0000-0000-0000D4060000}"/>
    <cellStyle name="Comma [0] 2 19 3" xfId="4473" xr:uid="{00000000-0005-0000-0000-0000D5060000}"/>
    <cellStyle name="Comma [0] 2 2" xfId="1568" xr:uid="{00000000-0005-0000-0000-0000D6060000}"/>
    <cellStyle name="Comma [0] 2 2 2" xfId="1569" xr:uid="{00000000-0005-0000-0000-0000D7060000}"/>
    <cellStyle name="Comma [0] 2 2 2 2" xfId="4476" xr:uid="{00000000-0005-0000-0000-0000D8060000}"/>
    <cellStyle name="Comma [0] 2 2 3" xfId="4475" xr:uid="{00000000-0005-0000-0000-0000D9060000}"/>
    <cellStyle name="Comma [0] 2 20" xfId="1570" xr:uid="{00000000-0005-0000-0000-0000DA060000}"/>
    <cellStyle name="Comma [0] 2 20 2" xfId="4478" xr:uid="{00000000-0005-0000-0000-0000DB060000}"/>
    <cellStyle name="Comma [0] 2 20 3" xfId="4477" xr:uid="{00000000-0005-0000-0000-0000DC060000}"/>
    <cellStyle name="Comma [0] 2 21" xfId="1571" xr:uid="{00000000-0005-0000-0000-0000DD060000}"/>
    <cellStyle name="Comma [0] 2 21 2" xfId="4480" xr:uid="{00000000-0005-0000-0000-0000DE060000}"/>
    <cellStyle name="Comma [0] 2 21 3" xfId="4479" xr:uid="{00000000-0005-0000-0000-0000DF060000}"/>
    <cellStyle name="Comma [0] 2 22" xfId="1572" xr:uid="{00000000-0005-0000-0000-0000E0060000}"/>
    <cellStyle name="Comma [0] 2 22 2" xfId="4482" xr:uid="{00000000-0005-0000-0000-0000E1060000}"/>
    <cellStyle name="Comma [0] 2 22 3" xfId="4481" xr:uid="{00000000-0005-0000-0000-0000E2060000}"/>
    <cellStyle name="Comma [0] 2 23" xfId="1573" xr:uid="{00000000-0005-0000-0000-0000E3060000}"/>
    <cellStyle name="Comma [0] 2 23 2" xfId="4484" xr:uid="{00000000-0005-0000-0000-0000E4060000}"/>
    <cellStyle name="Comma [0] 2 23 3" xfId="4483" xr:uid="{00000000-0005-0000-0000-0000E5060000}"/>
    <cellStyle name="Comma [0] 2 24" xfId="1574" xr:uid="{00000000-0005-0000-0000-0000E6060000}"/>
    <cellStyle name="Comma [0] 2 25" xfId="1575" xr:uid="{00000000-0005-0000-0000-0000E7060000}"/>
    <cellStyle name="Comma [0] 2 26" xfId="1576" xr:uid="{00000000-0005-0000-0000-0000E8060000}"/>
    <cellStyle name="Comma [0] 2 3" xfId="1577" xr:uid="{00000000-0005-0000-0000-0000E9060000}"/>
    <cellStyle name="Comma [0] 2 3 2" xfId="4486" xr:uid="{00000000-0005-0000-0000-0000EA060000}"/>
    <cellStyle name="Comma [0] 2 3 3" xfId="4485" xr:uid="{00000000-0005-0000-0000-0000EB060000}"/>
    <cellStyle name="Comma [0] 2 4" xfId="1578" xr:uid="{00000000-0005-0000-0000-0000EC060000}"/>
    <cellStyle name="Comma [0] 2 4 2" xfId="4488" xr:uid="{00000000-0005-0000-0000-0000ED060000}"/>
    <cellStyle name="Comma [0] 2 4 3" xfId="4487" xr:uid="{00000000-0005-0000-0000-0000EE060000}"/>
    <cellStyle name="Comma [0] 2 5" xfId="1579" xr:uid="{00000000-0005-0000-0000-0000EF060000}"/>
    <cellStyle name="Comma [0] 2 5 2" xfId="4490" xr:uid="{00000000-0005-0000-0000-0000F0060000}"/>
    <cellStyle name="Comma [0] 2 5 3" xfId="4489" xr:uid="{00000000-0005-0000-0000-0000F1060000}"/>
    <cellStyle name="Comma [0] 2 6" xfId="1580" xr:uid="{00000000-0005-0000-0000-0000F2060000}"/>
    <cellStyle name="Comma [0] 2 6 2" xfId="4492" xr:uid="{00000000-0005-0000-0000-0000F3060000}"/>
    <cellStyle name="Comma [0] 2 6 3" xfId="4491" xr:uid="{00000000-0005-0000-0000-0000F4060000}"/>
    <cellStyle name="Comma [0] 2 7" xfId="1581" xr:uid="{00000000-0005-0000-0000-0000F5060000}"/>
    <cellStyle name="Comma [0] 2 7 2" xfId="4494" xr:uid="{00000000-0005-0000-0000-0000F6060000}"/>
    <cellStyle name="Comma [0] 2 7 3" xfId="4493" xr:uid="{00000000-0005-0000-0000-0000F7060000}"/>
    <cellStyle name="Comma [0] 2 8" xfId="1582" xr:uid="{00000000-0005-0000-0000-0000F8060000}"/>
    <cellStyle name="Comma [0] 2 8 2" xfId="4496" xr:uid="{00000000-0005-0000-0000-0000F9060000}"/>
    <cellStyle name="Comma [0] 2 8 3" xfId="4495" xr:uid="{00000000-0005-0000-0000-0000FA060000}"/>
    <cellStyle name="Comma [0] 2 9" xfId="1583" xr:uid="{00000000-0005-0000-0000-0000FB060000}"/>
    <cellStyle name="Comma [0] 2 9 2" xfId="4498" xr:uid="{00000000-0005-0000-0000-0000FC060000}"/>
    <cellStyle name="Comma [0] 2 9 3" xfId="4497" xr:uid="{00000000-0005-0000-0000-0000FD060000}"/>
    <cellStyle name="Comma [0] 2_05-12  KH trung han 2016-2020 - Liem Thinh edited" xfId="1584" xr:uid="{00000000-0005-0000-0000-0000FE060000}"/>
    <cellStyle name="Comma [0] 3" xfId="1585" xr:uid="{00000000-0005-0000-0000-0000FF060000}"/>
    <cellStyle name="Comma [0] 3 2" xfId="1586" xr:uid="{00000000-0005-0000-0000-000000070000}"/>
    <cellStyle name="Comma [0] 3 2 2" xfId="4499" xr:uid="{00000000-0005-0000-0000-000001070000}"/>
    <cellStyle name="Comma [0] 3 3" xfId="1587" xr:uid="{00000000-0005-0000-0000-000002070000}"/>
    <cellStyle name="Comma [0] 4" xfId="1588" xr:uid="{00000000-0005-0000-0000-000003070000}"/>
    <cellStyle name="Comma [0] 4 2" xfId="4500" xr:uid="{00000000-0005-0000-0000-000004070000}"/>
    <cellStyle name="Comma [0] 5" xfId="1589" xr:uid="{00000000-0005-0000-0000-000005070000}"/>
    <cellStyle name="Comma [0] 5 2" xfId="4501" xr:uid="{00000000-0005-0000-0000-000006070000}"/>
    <cellStyle name="Comma [0] 6" xfId="1590" xr:uid="{00000000-0005-0000-0000-000007070000}"/>
    <cellStyle name="Comma [0] 6 2" xfId="4502" xr:uid="{00000000-0005-0000-0000-000008070000}"/>
    <cellStyle name="Comma [0] 7" xfId="1591" xr:uid="{00000000-0005-0000-0000-000009070000}"/>
    <cellStyle name="Comma [0] 8" xfId="1592" xr:uid="{00000000-0005-0000-0000-00000A070000}"/>
    <cellStyle name="Comma [0] 9" xfId="1593" xr:uid="{00000000-0005-0000-0000-00000B070000}"/>
    <cellStyle name="Comma [00]" xfId="1594" xr:uid="{00000000-0005-0000-0000-00000C070000}"/>
    <cellStyle name="Comma [00] 10" xfId="1595" xr:uid="{00000000-0005-0000-0000-00000D070000}"/>
    <cellStyle name="Comma [00] 11" xfId="1596" xr:uid="{00000000-0005-0000-0000-00000E070000}"/>
    <cellStyle name="Comma [00] 12" xfId="1597" xr:uid="{00000000-0005-0000-0000-00000F070000}"/>
    <cellStyle name="Comma [00] 13" xfId="1598" xr:uid="{00000000-0005-0000-0000-000010070000}"/>
    <cellStyle name="Comma [00] 14" xfId="1599" xr:uid="{00000000-0005-0000-0000-000011070000}"/>
    <cellStyle name="Comma [00] 15" xfId="1600" xr:uid="{00000000-0005-0000-0000-000012070000}"/>
    <cellStyle name="Comma [00] 16" xfId="1601" xr:uid="{00000000-0005-0000-0000-000013070000}"/>
    <cellStyle name="Comma [00] 2" xfId="1602" xr:uid="{00000000-0005-0000-0000-000014070000}"/>
    <cellStyle name="Comma [00] 3" xfId="1603" xr:uid="{00000000-0005-0000-0000-000015070000}"/>
    <cellStyle name="Comma [00] 4" xfId="1604" xr:uid="{00000000-0005-0000-0000-000016070000}"/>
    <cellStyle name="Comma [00] 5" xfId="1605" xr:uid="{00000000-0005-0000-0000-000017070000}"/>
    <cellStyle name="Comma [00] 6" xfId="1606" xr:uid="{00000000-0005-0000-0000-000018070000}"/>
    <cellStyle name="Comma [00] 7" xfId="1607" xr:uid="{00000000-0005-0000-0000-000019070000}"/>
    <cellStyle name="Comma [00] 8" xfId="1608" xr:uid="{00000000-0005-0000-0000-00001A070000}"/>
    <cellStyle name="Comma [00] 9" xfId="1609" xr:uid="{00000000-0005-0000-0000-00001B070000}"/>
    <cellStyle name="Comma 0.0" xfId="1610" xr:uid="{00000000-0005-0000-0000-00001C070000}"/>
    <cellStyle name="Comma 0.0%" xfId="1611" xr:uid="{00000000-0005-0000-0000-00001D070000}"/>
    <cellStyle name="Comma 0.00" xfId="1612" xr:uid="{00000000-0005-0000-0000-00001E070000}"/>
    <cellStyle name="Comma 0.00%" xfId="1613" xr:uid="{00000000-0005-0000-0000-00001F070000}"/>
    <cellStyle name="Comma 0.000" xfId="1614" xr:uid="{00000000-0005-0000-0000-000020070000}"/>
    <cellStyle name="Comma 0.000%" xfId="1615" xr:uid="{00000000-0005-0000-0000-000021070000}"/>
    <cellStyle name="Comma 10" xfId="1616" xr:uid="{00000000-0005-0000-0000-000022070000}"/>
    <cellStyle name="Comma 10 10" xfId="1617" xr:uid="{00000000-0005-0000-0000-000023070000}"/>
    <cellStyle name="Comma 10 10 2" xfId="4264" xr:uid="{00000000-0005-0000-0000-000024070000}"/>
    <cellStyle name="Comma 10 10 2 2" xfId="4504" xr:uid="{00000000-0005-0000-0000-000025070000}"/>
    <cellStyle name="Comma 10 10 3" xfId="4503" xr:uid="{00000000-0005-0000-0000-000026070000}"/>
    <cellStyle name="Comma 10 2" xfId="1618" xr:uid="{00000000-0005-0000-0000-000027070000}"/>
    <cellStyle name="Comma 10 2 2" xfId="1619" xr:uid="{00000000-0005-0000-0000-000028070000}"/>
    <cellStyle name="Comma 10 2 2 2" xfId="4506" xr:uid="{00000000-0005-0000-0000-000029070000}"/>
    <cellStyle name="Comma 10 2 3" xfId="4507" xr:uid="{00000000-0005-0000-0000-00002A070000}"/>
    <cellStyle name="Comma 10 2 4" xfId="4505" xr:uid="{00000000-0005-0000-0000-00002B070000}"/>
    <cellStyle name="Comma 10 3" xfId="1620" xr:uid="{00000000-0005-0000-0000-00002C070000}"/>
    <cellStyle name="Comma 10 3 2" xfId="1621" xr:uid="{00000000-0005-0000-0000-00002D070000}"/>
    <cellStyle name="Comma 10 3 2 2" xfId="4509" xr:uid="{00000000-0005-0000-0000-00002E070000}"/>
    <cellStyle name="Comma 10 3 3" xfId="4508" xr:uid="{00000000-0005-0000-0000-00002F070000}"/>
    <cellStyle name="Comma 10 3 3 2" xfId="1622" xr:uid="{00000000-0005-0000-0000-000030070000}"/>
    <cellStyle name="Comma 10 4" xfId="4510" xr:uid="{00000000-0005-0000-0000-000031070000}"/>
    <cellStyle name="Comma 11" xfId="1623" xr:uid="{00000000-0005-0000-0000-000032070000}"/>
    <cellStyle name="Comma 11 2" xfId="1624" xr:uid="{00000000-0005-0000-0000-000033070000}"/>
    <cellStyle name="Comma 11 2 2" xfId="4512" xr:uid="{00000000-0005-0000-0000-000034070000}"/>
    <cellStyle name="Comma 11 3" xfId="1625" xr:uid="{00000000-0005-0000-0000-000035070000}"/>
    <cellStyle name="Comma 11 3 2" xfId="1626" xr:uid="{00000000-0005-0000-0000-000036070000}"/>
    <cellStyle name="Comma 11 3 3" xfId="1627" xr:uid="{00000000-0005-0000-0000-000037070000}"/>
    <cellStyle name="Comma 11 4" xfId="4511" xr:uid="{00000000-0005-0000-0000-000038070000}"/>
    <cellStyle name="Comma 12" xfId="1628" xr:uid="{00000000-0005-0000-0000-000039070000}"/>
    <cellStyle name="Comma 12 2" xfId="1629" xr:uid="{00000000-0005-0000-0000-00003A070000}"/>
    <cellStyle name="Comma 12 2 2" xfId="4514" xr:uid="{00000000-0005-0000-0000-00003B070000}"/>
    <cellStyle name="Comma 12 3" xfId="1630" xr:uid="{00000000-0005-0000-0000-00003C070000}"/>
    <cellStyle name="Comma 12 4" xfId="4513" xr:uid="{00000000-0005-0000-0000-00003D070000}"/>
    <cellStyle name="Comma 13" xfId="1631" xr:uid="{00000000-0005-0000-0000-00003E070000}"/>
    <cellStyle name="Comma 13 2" xfId="1632" xr:uid="{00000000-0005-0000-0000-00003F070000}"/>
    <cellStyle name="Comma 13 2 2" xfId="1633" xr:uid="{00000000-0005-0000-0000-000040070000}"/>
    <cellStyle name="Comma 13 2 2 2" xfId="1634" xr:uid="{00000000-0005-0000-0000-000041070000}"/>
    <cellStyle name="Comma 13 2 2 2 2" xfId="1635" xr:uid="{00000000-0005-0000-0000-000042070000}"/>
    <cellStyle name="Comma 13 2 2 2 2 2" xfId="4519" xr:uid="{00000000-0005-0000-0000-000043070000}"/>
    <cellStyle name="Comma 13 2 2 2 3" xfId="1636" xr:uid="{00000000-0005-0000-0000-000044070000}"/>
    <cellStyle name="Comma 13 2 2 2 4" xfId="4518" xr:uid="{00000000-0005-0000-0000-000045070000}"/>
    <cellStyle name="Comma 13 2 2 3" xfId="1637" xr:uid="{00000000-0005-0000-0000-000046070000}"/>
    <cellStyle name="Comma 13 2 2 3 2" xfId="4521" xr:uid="{00000000-0005-0000-0000-000047070000}"/>
    <cellStyle name="Comma 13 2 2 3 3" xfId="4520" xr:uid="{00000000-0005-0000-0000-000048070000}"/>
    <cellStyle name="Comma 13 2 2 4" xfId="1638" xr:uid="{00000000-0005-0000-0000-000049070000}"/>
    <cellStyle name="Comma 13 2 2 4 2" xfId="4522" xr:uid="{00000000-0005-0000-0000-00004A070000}"/>
    <cellStyle name="Comma 13 2 2 5" xfId="1639" xr:uid="{00000000-0005-0000-0000-00004B070000}"/>
    <cellStyle name="Comma 13 2 2 6" xfId="4517" xr:uid="{00000000-0005-0000-0000-00004C070000}"/>
    <cellStyle name="Comma 13 2 3" xfId="1640" xr:uid="{00000000-0005-0000-0000-00004D070000}"/>
    <cellStyle name="Comma 13 2 3 2" xfId="1641" xr:uid="{00000000-0005-0000-0000-00004E070000}"/>
    <cellStyle name="Comma 13 2 3 2 2" xfId="4525" xr:uid="{00000000-0005-0000-0000-00004F070000}"/>
    <cellStyle name="Comma 13 2 3 2 3" xfId="4524" xr:uid="{00000000-0005-0000-0000-000050070000}"/>
    <cellStyle name="Comma 13 2 3 3" xfId="4526" xr:uid="{00000000-0005-0000-0000-000051070000}"/>
    <cellStyle name="Comma 13 2 3 4" xfId="4523" xr:uid="{00000000-0005-0000-0000-000052070000}"/>
    <cellStyle name="Comma 13 2 4" xfId="1642" xr:uid="{00000000-0005-0000-0000-000053070000}"/>
    <cellStyle name="Comma 13 2 4 2" xfId="4528" xr:uid="{00000000-0005-0000-0000-000054070000}"/>
    <cellStyle name="Comma 13 2 4 3" xfId="4527" xr:uid="{00000000-0005-0000-0000-000055070000}"/>
    <cellStyle name="Comma 13 2 5" xfId="1643" xr:uid="{00000000-0005-0000-0000-000056070000}"/>
    <cellStyle name="Comma 13 2 5 2" xfId="4529" xr:uid="{00000000-0005-0000-0000-000057070000}"/>
    <cellStyle name="Comma 13 2 6" xfId="4516" xr:uid="{00000000-0005-0000-0000-000058070000}"/>
    <cellStyle name="Comma 13 3" xfId="1644" xr:uid="{00000000-0005-0000-0000-000059070000}"/>
    <cellStyle name="Comma 13 3 2" xfId="4530" xr:uid="{00000000-0005-0000-0000-00005A070000}"/>
    <cellStyle name="Comma 13 4" xfId="1645" xr:uid="{00000000-0005-0000-0000-00005B070000}"/>
    <cellStyle name="Comma 13 5" xfId="4515" xr:uid="{00000000-0005-0000-0000-00005C070000}"/>
    <cellStyle name="Comma 14" xfId="1646" xr:uid="{00000000-0005-0000-0000-00005D070000}"/>
    <cellStyle name="Comma 14 2" xfId="1647" xr:uid="{00000000-0005-0000-0000-00005E070000}"/>
    <cellStyle name="Comma 14 2 2" xfId="1648" xr:uid="{00000000-0005-0000-0000-00005F070000}"/>
    <cellStyle name="Comma 14 2 3" xfId="4532" xr:uid="{00000000-0005-0000-0000-000060070000}"/>
    <cellStyle name="Comma 14 3" xfId="1649" xr:uid="{00000000-0005-0000-0000-000061070000}"/>
    <cellStyle name="Comma 14 4" xfId="4531" xr:uid="{00000000-0005-0000-0000-000062070000}"/>
    <cellStyle name="Comma 15" xfId="1650" xr:uid="{00000000-0005-0000-0000-000063070000}"/>
    <cellStyle name="Comma 15 2" xfId="1651" xr:uid="{00000000-0005-0000-0000-000064070000}"/>
    <cellStyle name="Comma 15 2 2" xfId="4534" xr:uid="{00000000-0005-0000-0000-000065070000}"/>
    <cellStyle name="Comma 15 3" xfId="1652" xr:uid="{00000000-0005-0000-0000-000066070000}"/>
    <cellStyle name="Comma 15 4" xfId="4533" xr:uid="{00000000-0005-0000-0000-000067070000}"/>
    <cellStyle name="Comma 16" xfId="1653" xr:uid="{00000000-0005-0000-0000-000068070000}"/>
    <cellStyle name="Comma 16 2" xfId="1654" xr:uid="{00000000-0005-0000-0000-000069070000}"/>
    <cellStyle name="Comma 16 2 2" xfId="4537" xr:uid="{00000000-0005-0000-0000-00006A070000}"/>
    <cellStyle name="Comma 16 2 3" xfId="4536" xr:uid="{00000000-0005-0000-0000-00006B070000}"/>
    <cellStyle name="Comma 16 3" xfId="1655" xr:uid="{00000000-0005-0000-0000-00006C070000}"/>
    <cellStyle name="Comma 16 3 2" xfId="1656" xr:uid="{00000000-0005-0000-0000-00006D070000}"/>
    <cellStyle name="Comma 16 3 2 2" xfId="1657" xr:uid="{00000000-0005-0000-0000-00006E070000}"/>
    <cellStyle name="Comma 16 3 3" xfId="1658" xr:uid="{00000000-0005-0000-0000-00006F070000}"/>
    <cellStyle name="Comma 16 3 3 2" xfId="1659" xr:uid="{00000000-0005-0000-0000-000070070000}"/>
    <cellStyle name="Comma 16 3 4" xfId="1660" xr:uid="{00000000-0005-0000-0000-000071070000}"/>
    <cellStyle name="Comma 16 3 5" xfId="4538" xr:uid="{00000000-0005-0000-0000-000072070000}"/>
    <cellStyle name="Comma 16 4" xfId="4535" xr:uid="{00000000-0005-0000-0000-000073070000}"/>
    <cellStyle name="Comma 17" xfId="1661" xr:uid="{00000000-0005-0000-0000-000074070000}"/>
    <cellStyle name="Comma 17 2" xfId="1662" xr:uid="{00000000-0005-0000-0000-000075070000}"/>
    <cellStyle name="Comma 17 2 2" xfId="4539" xr:uid="{00000000-0005-0000-0000-000076070000}"/>
    <cellStyle name="Comma 17 3" xfId="1663" xr:uid="{00000000-0005-0000-0000-000077070000}"/>
    <cellStyle name="Comma 17 4" xfId="1664" xr:uid="{00000000-0005-0000-0000-000078070000}"/>
    <cellStyle name="Comma 18" xfId="1665" xr:uid="{00000000-0005-0000-0000-000079070000}"/>
    <cellStyle name="Comma 18 2" xfId="1666" xr:uid="{00000000-0005-0000-0000-00007A070000}"/>
    <cellStyle name="Comma 18 2 2" xfId="4541" xr:uid="{00000000-0005-0000-0000-00007B070000}"/>
    <cellStyle name="Comma 18 3" xfId="1667" xr:uid="{00000000-0005-0000-0000-00007C070000}"/>
    <cellStyle name="Comma 18 4" xfId="4540" xr:uid="{00000000-0005-0000-0000-00007D070000}"/>
    <cellStyle name="Comma 19" xfId="1668" xr:uid="{00000000-0005-0000-0000-00007E070000}"/>
    <cellStyle name="Comma 19 2" xfId="1669" xr:uid="{00000000-0005-0000-0000-00007F070000}"/>
    <cellStyle name="Comma 19 3" xfId="4542" xr:uid="{00000000-0005-0000-0000-000080070000}"/>
    <cellStyle name="Comma 2" xfId="5" xr:uid="{00000000-0005-0000-0000-000081070000}"/>
    <cellStyle name="Comma 2 10" xfId="1670" xr:uid="{00000000-0005-0000-0000-000082070000}"/>
    <cellStyle name="Comma 2 10 2" xfId="4545" xr:uid="{00000000-0005-0000-0000-000083070000}"/>
    <cellStyle name="Comma 2 10 3" xfId="4544" xr:uid="{00000000-0005-0000-0000-000084070000}"/>
    <cellStyle name="Comma 2 11" xfId="1671" xr:uid="{00000000-0005-0000-0000-000085070000}"/>
    <cellStyle name="Comma 2 11 2" xfId="4547" xr:uid="{00000000-0005-0000-0000-000086070000}"/>
    <cellStyle name="Comma 2 11 3" xfId="4546" xr:uid="{00000000-0005-0000-0000-000087070000}"/>
    <cellStyle name="Comma 2 12" xfId="1672" xr:uid="{00000000-0005-0000-0000-000088070000}"/>
    <cellStyle name="Comma 2 12 2" xfId="4549" xr:uid="{00000000-0005-0000-0000-000089070000}"/>
    <cellStyle name="Comma 2 12 3" xfId="4548" xr:uid="{00000000-0005-0000-0000-00008A070000}"/>
    <cellStyle name="Comma 2 13" xfId="1673" xr:uid="{00000000-0005-0000-0000-00008B070000}"/>
    <cellStyle name="Comma 2 13 2" xfId="4551" xr:uid="{00000000-0005-0000-0000-00008C070000}"/>
    <cellStyle name="Comma 2 13 3" xfId="4550" xr:uid="{00000000-0005-0000-0000-00008D070000}"/>
    <cellStyle name="Comma 2 14" xfId="1674" xr:uid="{00000000-0005-0000-0000-00008E070000}"/>
    <cellStyle name="Comma 2 14 2" xfId="4553" xr:uid="{00000000-0005-0000-0000-00008F070000}"/>
    <cellStyle name="Comma 2 14 3" xfId="4552" xr:uid="{00000000-0005-0000-0000-000090070000}"/>
    <cellStyle name="Comma 2 15" xfId="1675" xr:uid="{00000000-0005-0000-0000-000091070000}"/>
    <cellStyle name="Comma 2 15 2" xfId="4555" xr:uid="{00000000-0005-0000-0000-000092070000}"/>
    <cellStyle name="Comma 2 15 3" xfId="4554" xr:uid="{00000000-0005-0000-0000-000093070000}"/>
    <cellStyle name="Comma 2 16" xfId="1676" xr:uid="{00000000-0005-0000-0000-000094070000}"/>
    <cellStyle name="Comma 2 16 2" xfId="4557" xr:uid="{00000000-0005-0000-0000-000095070000}"/>
    <cellStyle name="Comma 2 16 3" xfId="4556" xr:uid="{00000000-0005-0000-0000-000096070000}"/>
    <cellStyle name="Comma 2 17" xfId="1677" xr:uid="{00000000-0005-0000-0000-000097070000}"/>
    <cellStyle name="Comma 2 17 2" xfId="4559" xr:uid="{00000000-0005-0000-0000-000098070000}"/>
    <cellStyle name="Comma 2 17 3" xfId="4558" xr:uid="{00000000-0005-0000-0000-000099070000}"/>
    <cellStyle name="Comma 2 18" xfId="1678" xr:uid="{00000000-0005-0000-0000-00009A070000}"/>
    <cellStyle name="Comma 2 18 2" xfId="4561" xr:uid="{00000000-0005-0000-0000-00009B070000}"/>
    <cellStyle name="Comma 2 18 3" xfId="4560" xr:uid="{00000000-0005-0000-0000-00009C070000}"/>
    <cellStyle name="Comma 2 19" xfId="1679" xr:uid="{00000000-0005-0000-0000-00009D070000}"/>
    <cellStyle name="Comma 2 19 2" xfId="4563" xr:uid="{00000000-0005-0000-0000-00009E070000}"/>
    <cellStyle name="Comma 2 19 3" xfId="4562" xr:uid="{00000000-0005-0000-0000-00009F070000}"/>
    <cellStyle name="Comma 2 2" xfId="1680" xr:uid="{00000000-0005-0000-0000-0000A0070000}"/>
    <cellStyle name="Comma 2 2 10" xfId="1681" xr:uid="{00000000-0005-0000-0000-0000A1070000}"/>
    <cellStyle name="Comma 2 2 11" xfId="1682" xr:uid="{00000000-0005-0000-0000-0000A2070000}"/>
    <cellStyle name="Comma 2 2 12" xfId="1683" xr:uid="{00000000-0005-0000-0000-0000A3070000}"/>
    <cellStyle name="Comma 2 2 13" xfId="1684" xr:uid="{00000000-0005-0000-0000-0000A4070000}"/>
    <cellStyle name="Comma 2 2 14" xfId="1685" xr:uid="{00000000-0005-0000-0000-0000A5070000}"/>
    <cellStyle name="Comma 2 2 15" xfId="1686" xr:uid="{00000000-0005-0000-0000-0000A6070000}"/>
    <cellStyle name="Comma 2 2 16" xfId="1687" xr:uid="{00000000-0005-0000-0000-0000A7070000}"/>
    <cellStyle name="Comma 2 2 17" xfId="1688" xr:uid="{00000000-0005-0000-0000-0000A8070000}"/>
    <cellStyle name="Comma 2 2 18" xfId="1689" xr:uid="{00000000-0005-0000-0000-0000A9070000}"/>
    <cellStyle name="Comma 2 2 19" xfId="1690" xr:uid="{00000000-0005-0000-0000-0000AA070000}"/>
    <cellStyle name="Comma 2 2 2" xfId="1691" xr:uid="{00000000-0005-0000-0000-0000AB070000}"/>
    <cellStyle name="Comma 2 2 2 10" xfId="1692" xr:uid="{00000000-0005-0000-0000-0000AC070000}"/>
    <cellStyle name="Comma 2 2 2 10 2" xfId="4565" xr:uid="{00000000-0005-0000-0000-0000AD070000}"/>
    <cellStyle name="Comma 2 2 2 11" xfId="1693" xr:uid="{00000000-0005-0000-0000-0000AE070000}"/>
    <cellStyle name="Comma 2 2 2 11 2" xfId="4566" xr:uid="{00000000-0005-0000-0000-0000AF070000}"/>
    <cellStyle name="Comma 2 2 2 12" xfId="1694" xr:uid="{00000000-0005-0000-0000-0000B0070000}"/>
    <cellStyle name="Comma 2 2 2 12 2" xfId="4567" xr:uid="{00000000-0005-0000-0000-0000B1070000}"/>
    <cellStyle name="Comma 2 2 2 13" xfId="1695" xr:uid="{00000000-0005-0000-0000-0000B2070000}"/>
    <cellStyle name="Comma 2 2 2 13 2" xfId="4568" xr:uid="{00000000-0005-0000-0000-0000B3070000}"/>
    <cellStyle name="Comma 2 2 2 14" xfId="1696" xr:uid="{00000000-0005-0000-0000-0000B4070000}"/>
    <cellStyle name="Comma 2 2 2 14 2" xfId="4569" xr:uid="{00000000-0005-0000-0000-0000B5070000}"/>
    <cellStyle name="Comma 2 2 2 15" xfId="1697" xr:uid="{00000000-0005-0000-0000-0000B6070000}"/>
    <cellStyle name="Comma 2 2 2 15 2" xfId="4570" xr:uid="{00000000-0005-0000-0000-0000B7070000}"/>
    <cellStyle name="Comma 2 2 2 16" xfId="1698" xr:uid="{00000000-0005-0000-0000-0000B8070000}"/>
    <cellStyle name="Comma 2 2 2 16 2" xfId="4571" xr:uid="{00000000-0005-0000-0000-0000B9070000}"/>
    <cellStyle name="Comma 2 2 2 17" xfId="1699" xr:uid="{00000000-0005-0000-0000-0000BA070000}"/>
    <cellStyle name="Comma 2 2 2 17 2" xfId="4572" xr:uid="{00000000-0005-0000-0000-0000BB070000}"/>
    <cellStyle name="Comma 2 2 2 18" xfId="1700" xr:uid="{00000000-0005-0000-0000-0000BC070000}"/>
    <cellStyle name="Comma 2 2 2 18 2" xfId="4573" xr:uid="{00000000-0005-0000-0000-0000BD070000}"/>
    <cellStyle name="Comma 2 2 2 19" xfId="1701" xr:uid="{00000000-0005-0000-0000-0000BE070000}"/>
    <cellStyle name="Comma 2 2 2 19 2" xfId="4574" xr:uid="{00000000-0005-0000-0000-0000BF070000}"/>
    <cellStyle name="Comma 2 2 2 2" xfId="1702" xr:uid="{00000000-0005-0000-0000-0000C0070000}"/>
    <cellStyle name="Comma 2 2 2 2 2" xfId="1703" xr:uid="{00000000-0005-0000-0000-0000C1070000}"/>
    <cellStyle name="Comma 2 2 2 2 3" xfId="4575" xr:uid="{00000000-0005-0000-0000-0000C2070000}"/>
    <cellStyle name="Comma 2 2 2 20" xfId="1704" xr:uid="{00000000-0005-0000-0000-0000C3070000}"/>
    <cellStyle name="Comma 2 2 2 20 2" xfId="4576" xr:uid="{00000000-0005-0000-0000-0000C4070000}"/>
    <cellStyle name="Comma 2 2 2 21" xfId="1705" xr:uid="{00000000-0005-0000-0000-0000C5070000}"/>
    <cellStyle name="Comma 2 2 2 21 2" xfId="4577" xr:uid="{00000000-0005-0000-0000-0000C6070000}"/>
    <cellStyle name="Comma 2 2 2 22" xfId="1706" xr:uid="{00000000-0005-0000-0000-0000C7070000}"/>
    <cellStyle name="Comma 2 2 2 22 2" xfId="4578" xr:uid="{00000000-0005-0000-0000-0000C8070000}"/>
    <cellStyle name="Comma 2 2 2 23" xfId="1707" xr:uid="{00000000-0005-0000-0000-0000C9070000}"/>
    <cellStyle name="Comma 2 2 2 23 2" xfId="4579" xr:uid="{00000000-0005-0000-0000-0000CA070000}"/>
    <cellStyle name="Comma 2 2 2 24" xfId="1708" xr:uid="{00000000-0005-0000-0000-0000CB070000}"/>
    <cellStyle name="Comma 2 2 2 24 2" xfId="4580" xr:uid="{00000000-0005-0000-0000-0000CC070000}"/>
    <cellStyle name="Comma 2 2 2 25" xfId="4564" xr:uid="{00000000-0005-0000-0000-0000CD070000}"/>
    <cellStyle name="Comma 2 2 2 3" xfId="1709" xr:uid="{00000000-0005-0000-0000-0000CE070000}"/>
    <cellStyle name="Comma 2 2 2 3 2" xfId="4581" xr:uid="{00000000-0005-0000-0000-0000CF070000}"/>
    <cellStyle name="Comma 2 2 2 4" xfId="1710" xr:uid="{00000000-0005-0000-0000-0000D0070000}"/>
    <cellStyle name="Comma 2 2 2 4 2" xfId="4582" xr:uid="{00000000-0005-0000-0000-0000D1070000}"/>
    <cellStyle name="Comma 2 2 2 5" xfId="1711" xr:uid="{00000000-0005-0000-0000-0000D2070000}"/>
    <cellStyle name="Comma 2 2 2 5 2" xfId="4583" xr:uid="{00000000-0005-0000-0000-0000D3070000}"/>
    <cellStyle name="Comma 2 2 2 6" xfId="1712" xr:uid="{00000000-0005-0000-0000-0000D4070000}"/>
    <cellStyle name="Comma 2 2 2 6 2" xfId="4584" xr:uid="{00000000-0005-0000-0000-0000D5070000}"/>
    <cellStyle name="Comma 2 2 2 7" xfId="1713" xr:uid="{00000000-0005-0000-0000-0000D6070000}"/>
    <cellStyle name="Comma 2 2 2 7 2" xfId="4585" xr:uid="{00000000-0005-0000-0000-0000D7070000}"/>
    <cellStyle name="Comma 2 2 2 8" xfId="1714" xr:uid="{00000000-0005-0000-0000-0000D8070000}"/>
    <cellStyle name="Comma 2 2 2 8 2" xfId="4586" xr:uid="{00000000-0005-0000-0000-0000D9070000}"/>
    <cellStyle name="Comma 2 2 2 9" xfId="1715" xr:uid="{00000000-0005-0000-0000-0000DA070000}"/>
    <cellStyle name="Comma 2 2 2 9 2" xfId="4587" xr:uid="{00000000-0005-0000-0000-0000DB070000}"/>
    <cellStyle name="Comma 2 2 20" xfId="1716" xr:uid="{00000000-0005-0000-0000-0000DC070000}"/>
    <cellStyle name="Comma 2 2 21" xfId="1717" xr:uid="{00000000-0005-0000-0000-0000DD070000}"/>
    <cellStyle name="Comma 2 2 22" xfId="1718" xr:uid="{00000000-0005-0000-0000-0000DE070000}"/>
    <cellStyle name="Comma 2 2 23" xfId="1719" xr:uid="{00000000-0005-0000-0000-0000DF070000}"/>
    <cellStyle name="Comma 2 2 24" xfId="1720" xr:uid="{00000000-0005-0000-0000-0000E0070000}"/>
    <cellStyle name="Comma 2 2 24 2" xfId="1721" xr:uid="{00000000-0005-0000-0000-0000E1070000}"/>
    <cellStyle name="Comma 2 2 24 3" xfId="4588" xr:uid="{00000000-0005-0000-0000-0000E2070000}"/>
    <cellStyle name="Comma 2 2 25" xfId="1722" xr:uid="{00000000-0005-0000-0000-0000E3070000}"/>
    <cellStyle name="Comma 2 2 25 2" xfId="4589" xr:uid="{00000000-0005-0000-0000-0000E4070000}"/>
    <cellStyle name="Comma 2 2 26" xfId="4590" xr:uid="{00000000-0005-0000-0000-0000E5070000}"/>
    <cellStyle name="Comma 2 2 3" xfId="1723" xr:uid="{00000000-0005-0000-0000-0000E6070000}"/>
    <cellStyle name="Comma 2 2 3 2" xfId="1724" xr:uid="{00000000-0005-0000-0000-0000E7070000}"/>
    <cellStyle name="Comma 2 2 4" xfId="1725" xr:uid="{00000000-0005-0000-0000-0000E8070000}"/>
    <cellStyle name="Comma 2 2 5" xfId="1726" xr:uid="{00000000-0005-0000-0000-0000E9070000}"/>
    <cellStyle name="Comma 2 2 6" xfId="1727" xr:uid="{00000000-0005-0000-0000-0000EA070000}"/>
    <cellStyle name="Comma 2 2 7" xfId="1728" xr:uid="{00000000-0005-0000-0000-0000EB070000}"/>
    <cellStyle name="Comma 2 2 8" xfId="1729" xr:uid="{00000000-0005-0000-0000-0000EC070000}"/>
    <cellStyle name="Comma 2 2 9" xfId="1730" xr:uid="{00000000-0005-0000-0000-0000ED070000}"/>
    <cellStyle name="Comma 2 2_05-12  KH trung han 2016-2020 - Liem Thinh edited" xfId="1731" xr:uid="{00000000-0005-0000-0000-0000EE070000}"/>
    <cellStyle name="Comma 2 20" xfId="1732" xr:uid="{00000000-0005-0000-0000-0000EF070000}"/>
    <cellStyle name="Comma 2 20 2" xfId="4592" xr:uid="{00000000-0005-0000-0000-0000F0070000}"/>
    <cellStyle name="Comma 2 20 3" xfId="4591" xr:uid="{00000000-0005-0000-0000-0000F1070000}"/>
    <cellStyle name="Comma 2 21" xfId="1733" xr:uid="{00000000-0005-0000-0000-0000F2070000}"/>
    <cellStyle name="Comma 2 21 2" xfId="4594" xr:uid="{00000000-0005-0000-0000-0000F3070000}"/>
    <cellStyle name="Comma 2 21 3" xfId="4593" xr:uid="{00000000-0005-0000-0000-0000F4070000}"/>
    <cellStyle name="Comma 2 22" xfId="1734" xr:uid="{00000000-0005-0000-0000-0000F5070000}"/>
    <cellStyle name="Comma 2 22 2" xfId="4596" xr:uid="{00000000-0005-0000-0000-0000F6070000}"/>
    <cellStyle name="Comma 2 22 3" xfId="4595" xr:uid="{00000000-0005-0000-0000-0000F7070000}"/>
    <cellStyle name="Comma 2 23" xfId="1735" xr:uid="{00000000-0005-0000-0000-0000F8070000}"/>
    <cellStyle name="Comma 2 23 2" xfId="4598" xr:uid="{00000000-0005-0000-0000-0000F9070000}"/>
    <cellStyle name="Comma 2 23 3" xfId="4597" xr:uid="{00000000-0005-0000-0000-0000FA070000}"/>
    <cellStyle name="Comma 2 24" xfId="1736" xr:uid="{00000000-0005-0000-0000-0000FB070000}"/>
    <cellStyle name="Comma 2 24 2" xfId="4600" xr:uid="{00000000-0005-0000-0000-0000FC070000}"/>
    <cellStyle name="Comma 2 24 3" xfId="4599" xr:uid="{00000000-0005-0000-0000-0000FD070000}"/>
    <cellStyle name="Comma 2 25" xfId="1737" xr:uid="{00000000-0005-0000-0000-0000FE070000}"/>
    <cellStyle name="Comma 2 25 2" xfId="4602" xr:uid="{00000000-0005-0000-0000-0000FF070000}"/>
    <cellStyle name="Comma 2 25 3" xfId="4601" xr:uid="{00000000-0005-0000-0000-000000080000}"/>
    <cellStyle name="Comma 2 26" xfId="1738" xr:uid="{00000000-0005-0000-0000-000001080000}"/>
    <cellStyle name="Comma 2 26 2" xfId="1739" xr:uid="{00000000-0005-0000-0000-000002080000}"/>
    <cellStyle name="Comma 2 26 3" xfId="4603" xr:uid="{00000000-0005-0000-0000-000003080000}"/>
    <cellStyle name="Comma 2 27" xfId="1740" xr:uid="{00000000-0005-0000-0000-000004080000}"/>
    <cellStyle name="Comma 2 27 2" xfId="4604" xr:uid="{00000000-0005-0000-0000-000005080000}"/>
    <cellStyle name="Comma 2 28" xfId="4269" xr:uid="{00000000-0005-0000-0000-000006080000}"/>
    <cellStyle name="Comma 2 28 2" xfId="4605" xr:uid="{00000000-0005-0000-0000-000007080000}"/>
    <cellStyle name="Comma 2 29" xfId="4543" xr:uid="{00000000-0005-0000-0000-000008080000}"/>
    <cellStyle name="Comma 2 3" xfId="1741" xr:uid="{00000000-0005-0000-0000-000009080000}"/>
    <cellStyle name="Comma 2 3 2" xfId="1742" xr:uid="{00000000-0005-0000-0000-00000A080000}"/>
    <cellStyle name="Comma 2 3 2 2" xfId="1743" xr:uid="{00000000-0005-0000-0000-00000B080000}"/>
    <cellStyle name="Comma 2 3 2 2 2" xfId="4607" xr:uid="{00000000-0005-0000-0000-00000C080000}"/>
    <cellStyle name="Comma 2 3 2 3" xfId="1744" xr:uid="{00000000-0005-0000-0000-00000D080000}"/>
    <cellStyle name="Comma 2 3 2 4" xfId="4606" xr:uid="{00000000-0005-0000-0000-00000E080000}"/>
    <cellStyle name="Comma 2 3 3" xfId="1745" xr:uid="{00000000-0005-0000-0000-00000F080000}"/>
    <cellStyle name="Comma 2 4" xfId="1746" xr:uid="{00000000-0005-0000-0000-000010080000}"/>
    <cellStyle name="Comma 2 4 2" xfId="1747" xr:uid="{00000000-0005-0000-0000-000011080000}"/>
    <cellStyle name="Comma 2 4 2 2" xfId="4609" xr:uid="{00000000-0005-0000-0000-000012080000}"/>
    <cellStyle name="Comma 2 4 3" xfId="4608" xr:uid="{00000000-0005-0000-0000-000013080000}"/>
    <cellStyle name="Comma 2 48" xfId="4610" xr:uid="{00000000-0005-0000-0000-000014080000}"/>
    <cellStyle name="Comma 2 48 2" xfId="4611" xr:uid="{00000000-0005-0000-0000-000015080000}"/>
    <cellStyle name="Comma 2 5" xfId="1748" xr:uid="{00000000-0005-0000-0000-000016080000}"/>
    <cellStyle name="Comma 2 5 2" xfId="1749" xr:uid="{00000000-0005-0000-0000-000017080000}"/>
    <cellStyle name="Comma 2 5 2 2" xfId="4613" xr:uid="{00000000-0005-0000-0000-000018080000}"/>
    <cellStyle name="Comma 2 5 3" xfId="1750" xr:uid="{00000000-0005-0000-0000-000019080000}"/>
    <cellStyle name="Comma 2 5 4" xfId="4612" xr:uid="{00000000-0005-0000-0000-00001A080000}"/>
    <cellStyle name="Comma 2 6" xfId="1751" xr:uid="{00000000-0005-0000-0000-00001B080000}"/>
    <cellStyle name="Comma 2 6 2" xfId="4614" xr:uid="{00000000-0005-0000-0000-00001C080000}"/>
    <cellStyle name="Comma 2 7" xfId="1752" xr:uid="{00000000-0005-0000-0000-00001D080000}"/>
    <cellStyle name="Comma 2 7 2" xfId="4616" xr:uid="{00000000-0005-0000-0000-00001E080000}"/>
    <cellStyle name="Comma 2 7 3" xfId="4615" xr:uid="{00000000-0005-0000-0000-00001F080000}"/>
    <cellStyle name="Comma 2 8" xfId="1753" xr:uid="{00000000-0005-0000-0000-000020080000}"/>
    <cellStyle name="Comma 2 8 2" xfId="4618" xr:uid="{00000000-0005-0000-0000-000021080000}"/>
    <cellStyle name="Comma 2 8 3" xfId="4617" xr:uid="{00000000-0005-0000-0000-000022080000}"/>
    <cellStyle name="Comma 2 9" xfId="1754" xr:uid="{00000000-0005-0000-0000-000023080000}"/>
    <cellStyle name="Comma 2 9 2" xfId="4620" xr:uid="{00000000-0005-0000-0000-000024080000}"/>
    <cellStyle name="Comma 2 9 3" xfId="4619" xr:uid="{00000000-0005-0000-0000-000025080000}"/>
    <cellStyle name="Comma 2_05-12  KH trung han 2016-2020 - Liem Thinh edited" xfId="1755" xr:uid="{00000000-0005-0000-0000-000026080000}"/>
    <cellStyle name="Comma 20" xfId="1756" xr:uid="{00000000-0005-0000-0000-000027080000}"/>
    <cellStyle name="Comma 20 2" xfId="1757" xr:uid="{00000000-0005-0000-0000-000028080000}"/>
    <cellStyle name="Comma 20 3" xfId="1758" xr:uid="{00000000-0005-0000-0000-000029080000}"/>
    <cellStyle name="Comma 21" xfId="1759" xr:uid="{00000000-0005-0000-0000-00002A080000}"/>
    <cellStyle name="Comma 21 2" xfId="1760" xr:uid="{00000000-0005-0000-0000-00002B080000}"/>
    <cellStyle name="Comma 21 3" xfId="1761" xr:uid="{00000000-0005-0000-0000-00002C080000}"/>
    <cellStyle name="Comma 22" xfId="1762" xr:uid="{00000000-0005-0000-0000-00002D080000}"/>
    <cellStyle name="Comma 22 2" xfId="1763" xr:uid="{00000000-0005-0000-0000-00002E080000}"/>
    <cellStyle name="Comma 22 3" xfId="1764" xr:uid="{00000000-0005-0000-0000-00002F080000}"/>
    <cellStyle name="Comma 23" xfId="1765" xr:uid="{00000000-0005-0000-0000-000030080000}"/>
    <cellStyle name="Comma 23 2" xfId="1766" xr:uid="{00000000-0005-0000-0000-000031080000}"/>
    <cellStyle name="Comma 23 3" xfId="1767" xr:uid="{00000000-0005-0000-0000-000032080000}"/>
    <cellStyle name="Comma 24" xfId="1768" xr:uid="{00000000-0005-0000-0000-000033080000}"/>
    <cellStyle name="Comma 24 2" xfId="1769" xr:uid="{00000000-0005-0000-0000-000034080000}"/>
    <cellStyle name="Comma 24 3" xfId="4621" xr:uid="{00000000-0005-0000-0000-000035080000}"/>
    <cellStyle name="Comma 25" xfId="1770" xr:uid="{00000000-0005-0000-0000-000036080000}"/>
    <cellStyle name="Comma 25 2" xfId="1771" xr:uid="{00000000-0005-0000-0000-000037080000}"/>
    <cellStyle name="Comma 25 3" xfId="4622" xr:uid="{00000000-0005-0000-0000-000038080000}"/>
    <cellStyle name="Comma 26" xfId="1772" xr:uid="{00000000-0005-0000-0000-000039080000}"/>
    <cellStyle name="Comma 26 2" xfId="1773" xr:uid="{00000000-0005-0000-0000-00003A080000}"/>
    <cellStyle name="Comma 26 2 2" xfId="4624" xr:uid="{00000000-0005-0000-0000-00003B080000}"/>
    <cellStyle name="Comma 26 3" xfId="4623" xr:uid="{00000000-0005-0000-0000-00003C080000}"/>
    <cellStyle name="Comma 27" xfId="1774" xr:uid="{00000000-0005-0000-0000-00003D080000}"/>
    <cellStyle name="Comma 27 2" xfId="1775" xr:uid="{00000000-0005-0000-0000-00003E080000}"/>
    <cellStyle name="Comma 27 2 2" xfId="4626" xr:uid="{00000000-0005-0000-0000-00003F080000}"/>
    <cellStyle name="Comma 27 3" xfId="4625" xr:uid="{00000000-0005-0000-0000-000040080000}"/>
    <cellStyle name="Comma 28" xfId="1776" xr:uid="{00000000-0005-0000-0000-000041080000}"/>
    <cellStyle name="Comma 28 2" xfId="1777" xr:uid="{00000000-0005-0000-0000-000042080000}"/>
    <cellStyle name="Comma 28 2 2" xfId="4628" xr:uid="{00000000-0005-0000-0000-000043080000}"/>
    <cellStyle name="Comma 28 3" xfId="4629" xr:uid="{00000000-0005-0000-0000-000044080000}"/>
    <cellStyle name="Comma 28 4" xfId="4630" xr:uid="{00000000-0005-0000-0000-000045080000}"/>
    <cellStyle name="Comma 28 5" xfId="4627" xr:uid="{00000000-0005-0000-0000-000046080000}"/>
    <cellStyle name="Comma 29" xfId="1778" xr:uid="{00000000-0005-0000-0000-000047080000}"/>
    <cellStyle name="Comma 29 2" xfId="1779" xr:uid="{00000000-0005-0000-0000-000048080000}"/>
    <cellStyle name="Comma 29 2 2" xfId="4632" xr:uid="{00000000-0005-0000-0000-000049080000}"/>
    <cellStyle name="Comma 29 3" xfId="4631" xr:uid="{00000000-0005-0000-0000-00004A080000}"/>
    <cellStyle name="Comma 3" xfId="6" xr:uid="{00000000-0005-0000-0000-00004B080000}"/>
    <cellStyle name="Comma 3 2" xfId="1780" xr:uid="{00000000-0005-0000-0000-00004C080000}"/>
    <cellStyle name="Comma 3 2 10" xfId="1781" xr:uid="{00000000-0005-0000-0000-00004D080000}"/>
    <cellStyle name="Comma 3 2 11" xfId="1782" xr:uid="{00000000-0005-0000-0000-00004E080000}"/>
    <cellStyle name="Comma 3 2 12" xfId="1783" xr:uid="{00000000-0005-0000-0000-00004F080000}"/>
    <cellStyle name="Comma 3 2 13" xfId="1784" xr:uid="{00000000-0005-0000-0000-000050080000}"/>
    <cellStyle name="Comma 3 2 14" xfId="1785" xr:uid="{00000000-0005-0000-0000-000051080000}"/>
    <cellStyle name="Comma 3 2 15" xfId="1786" xr:uid="{00000000-0005-0000-0000-000052080000}"/>
    <cellStyle name="Comma 3 2 16" xfId="4634" xr:uid="{00000000-0005-0000-0000-000053080000}"/>
    <cellStyle name="Comma 3 2 2" xfId="1787" xr:uid="{00000000-0005-0000-0000-000054080000}"/>
    <cellStyle name="Comma 3 2 2 2" xfId="1788" xr:uid="{00000000-0005-0000-0000-000055080000}"/>
    <cellStyle name="Comma 3 2 2 3" xfId="1789" xr:uid="{00000000-0005-0000-0000-000056080000}"/>
    <cellStyle name="Comma 3 2 3" xfId="1790" xr:uid="{00000000-0005-0000-0000-000057080000}"/>
    <cellStyle name="Comma 3 2 3 2" xfId="1791" xr:uid="{00000000-0005-0000-0000-000058080000}"/>
    <cellStyle name="Comma 3 2 3 3" xfId="1792" xr:uid="{00000000-0005-0000-0000-000059080000}"/>
    <cellStyle name="Comma 3 2 4" xfId="1793" xr:uid="{00000000-0005-0000-0000-00005A080000}"/>
    <cellStyle name="Comma 3 2 4 2" xfId="4635" xr:uid="{00000000-0005-0000-0000-00005B080000}"/>
    <cellStyle name="Comma 3 2 5" xfId="1794" xr:uid="{00000000-0005-0000-0000-00005C080000}"/>
    <cellStyle name="Comma 3 2 5 2" xfId="4636" xr:uid="{00000000-0005-0000-0000-00005D080000}"/>
    <cellStyle name="Comma 3 2 6" xfId="1795" xr:uid="{00000000-0005-0000-0000-00005E080000}"/>
    <cellStyle name="Comma 3 2 7" xfId="1796" xr:uid="{00000000-0005-0000-0000-00005F080000}"/>
    <cellStyle name="Comma 3 2 8" xfId="1797" xr:uid="{00000000-0005-0000-0000-000060080000}"/>
    <cellStyle name="Comma 3 2 9" xfId="1798" xr:uid="{00000000-0005-0000-0000-000061080000}"/>
    <cellStyle name="Comma 3 3" xfId="1799" xr:uid="{00000000-0005-0000-0000-000062080000}"/>
    <cellStyle name="Comma 3 3 2" xfId="1800" xr:uid="{00000000-0005-0000-0000-000063080000}"/>
    <cellStyle name="Comma 3 3 2 2" xfId="4638" xr:uid="{00000000-0005-0000-0000-000064080000}"/>
    <cellStyle name="Comma 3 3 3" xfId="1801" xr:uid="{00000000-0005-0000-0000-000065080000}"/>
    <cellStyle name="Comma 3 3 3 2" xfId="4639" xr:uid="{00000000-0005-0000-0000-000066080000}"/>
    <cellStyle name="Comma 3 3 4" xfId="4640" xr:uid="{00000000-0005-0000-0000-000067080000}"/>
    <cellStyle name="Comma 3 3 5" xfId="4637" xr:uid="{00000000-0005-0000-0000-000068080000}"/>
    <cellStyle name="Comma 3 4" xfId="1802" xr:uid="{00000000-0005-0000-0000-000069080000}"/>
    <cellStyle name="Comma 3 4 2" xfId="1803" xr:uid="{00000000-0005-0000-0000-00006A080000}"/>
    <cellStyle name="Comma 3 4 3" xfId="1804" xr:uid="{00000000-0005-0000-0000-00006B080000}"/>
    <cellStyle name="Comma 3 4 4" xfId="4641" xr:uid="{00000000-0005-0000-0000-00006C080000}"/>
    <cellStyle name="Comma 3 5" xfId="1805" xr:uid="{00000000-0005-0000-0000-00006D080000}"/>
    <cellStyle name="Comma 3 5 2" xfId="1806" xr:uid="{00000000-0005-0000-0000-00006E080000}"/>
    <cellStyle name="Comma 3 5 3" xfId="4642" xr:uid="{00000000-0005-0000-0000-00006F080000}"/>
    <cellStyle name="Comma 3 6" xfId="1807" xr:uid="{00000000-0005-0000-0000-000070080000}"/>
    <cellStyle name="Comma 3 6 2" xfId="1808" xr:uid="{00000000-0005-0000-0000-000071080000}"/>
    <cellStyle name="Comma 3 7" xfId="4633" xr:uid="{00000000-0005-0000-0000-000072080000}"/>
    <cellStyle name="Comma 3_Biểu 14 - KH2015 dự án ODA" xfId="1809" xr:uid="{00000000-0005-0000-0000-000073080000}"/>
    <cellStyle name="Comma 30" xfId="1810" xr:uid="{00000000-0005-0000-0000-000074080000}"/>
    <cellStyle name="Comma 30 2" xfId="1811" xr:uid="{00000000-0005-0000-0000-000075080000}"/>
    <cellStyle name="Comma 30 2 2" xfId="4644" xr:uid="{00000000-0005-0000-0000-000076080000}"/>
    <cellStyle name="Comma 30 3" xfId="4643" xr:uid="{00000000-0005-0000-0000-000077080000}"/>
    <cellStyle name="Comma 31" xfId="1812" xr:uid="{00000000-0005-0000-0000-000078080000}"/>
    <cellStyle name="Comma 31 2" xfId="1813" xr:uid="{00000000-0005-0000-0000-000079080000}"/>
    <cellStyle name="Comma 31 2 2" xfId="4647" xr:uid="{00000000-0005-0000-0000-00007A080000}"/>
    <cellStyle name="Comma 31 2 3" xfId="4646" xr:uid="{00000000-0005-0000-0000-00007B080000}"/>
    <cellStyle name="Comma 31 3" xfId="4645" xr:uid="{00000000-0005-0000-0000-00007C080000}"/>
    <cellStyle name="Comma 32" xfId="1814" xr:uid="{00000000-0005-0000-0000-00007D080000}"/>
    <cellStyle name="Comma 32 2" xfId="1815" xr:uid="{00000000-0005-0000-0000-00007E080000}"/>
    <cellStyle name="Comma 32 2 2" xfId="1816" xr:uid="{00000000-0005-0000-0000-00007F080000}"/>
    <cellStyle name="Comma 32 2 3" xfId="4649" xr:uid="{00000000-0005-0000-0000-000080080000}"/>
    <cellStyle name="Comma 32 3" xfId="1817" xr:uid="{00000000-0005-0000-0000-000081080000}"/>
    <cellStyle name="Comma 32 4" xfId="4648" xr:uid="{00000000-0005-0000-0000-000082080000}"/>
    <cellStyle name="Comma 33" xfId="1818" xr:uid="{00000000-0005-0000-0000-000083080000}"/>
    <cellStyle name="Comma 33 2" xfId="1819" xr:uid="{00000000-0005-0000-0000-000084080000}"/>
    <cellStyle name="Comma 33 2 2" xfId="4651" xr:uid="{00000000-0005-0000-0000-000085080000}"/>
    <cellStyle name="Comma 33 3" xfId="4650" xr:uid="{00000000-0005-0000-0000-000086080000}"/>
    <cellStyle name="Comma 34" xfId="1820" xr:uid="{00000000-0005-0000-0000-000087080000}"/>
    <cellStyle name="Comma 34 2" xfId="1821" xr:uid="{00000000-0005-0000-0000-000088080000}"/>
    <cellStyle name="Comma 34 2 2" xfId="4653" xr:uid="{00000000-0005-0000-0000-000089080000}"/>
    <cellStyle name="Comma 34 3" xfId="4652" xr:uid="{00000000-0005-0000-0000-00008A080000}"/>
    <cellStyle name="Comma 35" xfId="1822" xr:uid="{00000000-0005-0000-0000-00008B080000}"/>
    <cellStyle name="Comma 35 2" xfId="1823" xr:uid="{00000000-0005-0000-0000-00008C080000}"/>
    <cellStyle name="Comma 35 2 2" xfId="4655" xr:uid="{00000000-0005-0000-0000-00008D080000}"/>
    <cellStyle name="Comma 35 3" xfId="1824" xr:uid="{00000000-0005-0000-0000-00008E080000}"/>
    <cellStyle name="Comma 35 3 2" xfId="1825" xr:uid="{00000000-0005-0000-0000-00008F080000}"/>
    <cellStyle name="Comma 35 4" xfId="1826" xr:uid="{00000000-0005-0000-0000-000090080000}"/>
    <cellStyle name="Comma 35 4 2" xfId="1827" xr:uid="{00000000-0005-0000-0000-000091080000}"/>
    <cellStyle name="Comma 35 5" xfId="4654" xr:uid="{00000000-0005-0000-0000-000092080000}"/>
    <cellStyle name="Comma 36" xfId="1828" xr:uid="{00000000-0005-0000-0000-000093080000}"/>
    <cellStyle name="Comma 36 2" xfId="1829" xr:uid="{00000000-0005-0000-0000-000094080000}"/>
    <cellStyle name="Comma 36 2 2" xfId="4657" xr:uid="{00000000-0005-0000-0000-000095080000}"/>
    <cellStyle name="Comma 36 3" xfId="4656" xr:uid="{00000000-0005-0000-0000-000096080000}"/>
    <cellStyle name="Comma 37" xfId="1830" xr:uid="{00000000-0005-0000-0000-000097080000}"/>
    <cellStyle name="Comma 37 2" xfId="1831" xr:uid="{00000000-0005-0000-0000-000098080000}"/>
    <cellStyle name="Comma 37 2 2" xfId="4659" xr:uid="{00000000-0005-0000-0000-000099080000}"/>
    <cellStyle name="Comma 37 3" xfId="4658" xr:uid="{00000000-0005-0000-0000-00009A080000}"/>
    <cellStyle name="Comma 38" xfId="1832" xr:uid="{00000000-0005-0000-0000-00009B080000}"/>
    <cellStyle name="Comma 38 2" xfId="4661" xr:uid="{00000000-0005-0000-0000-00009C080000}"/>
    <cellStyle name="Comma 38 3" xfId="4660" xr:uid="{00000000-0005-0000-0000-00009D080000}"/>
    <cellStyle name="Comma 39" xfId="1833" xr:uid="{00000000-0005-0000-0000-00009E080000}"/>
    <cellStyle name="Comma 39 2" xfId="1834" xr:uid="{00000000-0005-0000-0000-00009F080000}"/>
    <cellStyle name="Comma 39 2 2" xfId="4663" xr:uid="{00000000-0005-0000-0000-0000A0080000}"/>
    <cellStyle name="Comma 39 3" xfId="4662" xr:uid="{00000000-0005-0000-0000-0000A1080000}"/>
    <cellStyle name="Comma 4" xfId="7" xr:uid="{00000000-0005-0000-0000-0000A2080000}"/>
    <cellStyle name="Comma 4 10" xfId="1835" xr:uid="{00000000-0005-0000-0000-0000A3080000}"/>
    <cellStyle name="Comma 4 11" xfId="1836" xr:uid="{00000000-0005-0000-0000-0000A4080000}"/>
    <cellStyle name="Comma 4 12" xfId="1837" xr:uid="{00000000-0005-0000-0000-0000A5080000}"/>
    <cellStyle name="Comma 4 13" xfId="1838" xr:uid="{00000000-0005-0000-0000-0000A6080000}"/>
    <cellStyle name="Comma 4 14" xfId="1839" xr:uid="{00000000-0005-0000-0000-0000A7080000}"/>
    <cellStyle name="Comma 4 15" xfId="1840" xr:uid="{00000000-0005-0000-0000-0000A8080000}"/>
    <cellStyle name="Comma 4 16" xfId="1841" xr:uid="{00000000-0005-0000-0000-0000A9080000}"/>
    <cellStyle name="Comma 4 17" xfId="1842" xr:uid="{00000000-0005-0000-0000-0000AA080000}"/>
    <cellStyle name="Comma 4 18" xfId="1843" xr:uid="{00000000-0005-0000-0000-0000AB080000}"/>
    <cellStyle name="Comma 4 19" xfId="1844" xr:uid="{00000000-0005-0000-0000-0000AC080000}"/>
    <cellStyle name="Comma 4 2" xfId="1845" xr:uid="{00000000-0005-0000-0000-0000AD080000}"/>
    <cellStyle name="Comma 4 2 2" xfId="1846" xr:uid="{00000000-0005-0000-0000-0000AE080000}"/>
    <cellStyle name="Comma 4 2 2 2" xfId="4665" xr:uid="{00000000-0005-0000-0000-0000AF080000}"/>
    <cellStyle name="Comma 4 2 3" xfId="4666" xr:uid="{00000000-0005-0000-0000-0000B0080000}"/>
    <cellStyle name="Comma 4 20" xfId="4664" xr:uid="{00000000-0005-0000-0000-0000B1080000}"/>
    <cellStyle name="Comma 4 3" xfId="1847" xr:uid="{00000000-0005-0000-0000-0000B2080000}"/>
    <cellStyle name="Comma 4 3 2" xfId="1848" xr:uid="{00000000-0005-0000-0000-0000B3080000}"/>
    <cellStyle name="Comma 4 3 2 2" xfId="1849" xr:uid="{00000000-0005-0000-0000-0000B4080000}"/>
    <cellStyle name="Comma 4 3 3" xfId="1850" xr:uid="{00000000-0005-0000-0000-0000B5080000}"/>
    <cellStyle name="Comma 4 4" xfId="1851" xr:uid="{00000000-0005-0000-0000-0000B6080000}"/>
    <cellStyle name="Comma 4 4 2" xfId="1852" xr:uid="{00000000-0005-0000-0000-0000B7080000}"/>
    <cellStyle name="Comma 4 4 2 2" xfId="4667" xr:uid="{00000000-0005-0000-0000-0000B8080000}"/>
    <cellStyle name="Comma 4 4 3" xfId="1853" xr:uid="{00000000-0005-0000-0000-0000B9080000}"/>
    <cellStyle name="Comma 4 4 4" xfId="1854" xr:uid="{00000000-0005-0000-0000-0000BA080000}"/>
    <cellStyle name="Comma 4 5" xfId="1855" xr:uid="{00000000-0005-0000-0000-0000BB080000}"/>
    <cellStyle name="Comma 4 5 2" xfId="4669" xr:uid="{00000000-0005-0000-0000-0000BC080000}"/>
    <cellStyle name="Comma 4 5 3" xfId="4668" xr:uid="{00000000-0005-0000-0000-0000BD080000}"/>
    <cellStyle name="Comma 4 6" xfId="1856" xr:uid="{00000000-0005-0000-0000-0000BE080000}"/>
    <cellStyle name="Comma 4 6 2" xfId="4671" xr:uid="{00000000-0005-0000-0000-0000BF080000}"/>
    <cellStyle name="Comma 4 6 3" xfId="4670" xr:uid="{00000000-0005-0000-0000-0000C0080000}"/>
    <cellStyle name="Comma 4 7" xfId="1857" xr:uid="{00000000-0005-0000-0000-0000C1080000}"/>
    <cellStyle name="Comma 4 7 2" xfId="4672" xr:uid="{00000000-0005-0000-0000-0000C2080000}"/>
    <cellStyle name="Comma 4 8" xfId="1858" xr:uid="{00000000-0005-0000-0000-0000C3080000}"/>
    <cellStyle name="Comma 4 9" xfId="1859" xr:uid="{00000000-0005-0000-0000-0000C4080000}"/>
    <cellStyle name="Comma 4_THEO DOI THUC HIEN (GỐC 1)" xfId="1860" xr:uid="{00000000-0005-0000-0000-0000C5080000}"/>
    <cellStyle name="Comma 40" xfId="1861" xr:uid="{00000000-0005-0000-0000-0000C6080000}"/>
    <cellStyle name="Comma 40 2" xfId="1862" xr:uid="{00000000-0005-0000-0000-0000C7080000}"/>
    <cellStyle name="Comma 40 3" xfId="4673" xr:uid="{00000000-0005-0000-0000-0000C8080000}"/>
    <cellStyle name="Comma 41" xfId="1863" xr:uid="{00000000-0005-0000-0000-0000C9080000}"/>
    <cellStyle name="Comma 41 2" xfId="4674" xr:uid="{00000000-0005-0000-0000-0000CA080000}"/>
    <cellStyle name="Comma 42" xfId="1864" xr:uid="{00000000-0005-0000-0000-0000CB080000}"/>
    <cellStyle name="Comma 42 2" xfId="4675" xr:uid="{00000000-0005-0000-0000-0000CC080000}"/>
    <cellStyle name="Comma 43" xfId="1865" xr:uid="{00000000-0005-0000-0000-0000CD080000}"/>
    <cellStyle name="Comma 43 2" xfId="4676" xr:uid="{00000000-0005-0000-0000-0000CE080000}"/>
    <cellStyle name="Comma 44" xfId="1866" xr:uid="{00000000-0005-0000-0000-0000CF080000}"/>
    <cellStyle name="Comma 44 2" xfId="4678" xr:uid="{00000000-0005-0000-0000-0000D0080000}"/>
    <cellStyle name="Comma 44 3" xfId="4677" xr:uid="{00000000-0005-0000-0000-0000D1080000}"/>
    <cellStyle name="Comma 45" xfId="1867" xr:uid="{00000000-0005-0000-0000-0000D2080000}"/>
    <cellStyle name="Comma 45 2" xfId="4679" xr:uid="{00000000-0005-0000-0000-0000D3080000}"/>
    <cellStyle name="Comma 46" xfId="1868" xr:uid="{00000000-0005-0000-0000-0000D4080000}"/>
    <cellStyle name="Comma 46 2" xfId="4680" xr:uid="{00000000-0005-0000-0000-0000D5080000}"/>
    <cellStyle name="Comma 47" xfId="1869" xr:uid="{00000000-0005-0000-0000-0000D6080000}"/>
    <cellStyle name="Comma 47 2" xfId="4682" xr:uid="{00000000-0005-0000-0000-0000D7080000}"/>
    <cellStyle name="Comma 47 3" xfId="4681" xr:uid="{00000000-0005-0000-0000-0000D8080000}"/>
    <cellStyle name="Comma 48" xfId="1870" xr:uid="{00000000-0005-0000-0000-0000D9080000}"/>
    <cellStyle name="Comma 48 2" xfId="4684" xr:uid="{00000000-0005-0000-0000-0000DA080000}"/>
    <cellStyle name="Comma 48 3" xfId="4683" xr:uid="{00000000-0005-0000-0000-0000DB080000}"/>
    <cellStyle name="Comma 49" xfId="1871" xr:uid="{00000000-0005-0000-0000-0000DC080000}"/>
    <cellStyle name="Comma 49 2" xfId="4686" xr:uid="{00000000-0005-0000-0000-0000DD080000}"/>
    <cellStyle name="Comma 49 3" xfId="4685" xr:uid="{00000000-0005-0000-0000-0000DE080000}"/>
    <cellStyle name="Comma 5" xfId="1872" xr:uid="{00000000-0005-0000-0000-0000DF080000}"/>
    <cellStyle name="Comma 5 10" xfId="1873" xr:uid="{00000000-0005-0000-0000-0000E0080000}"/>
    <cellStyle name="Comma 5 11" xfId="1874" xr:uid="{00000000-0005-0000-0000-0000E1080000}"/>
    <cellStyle name="Comma 5 12" xfId="1875" xr:uid="{00000000-0005-0000-0000-0000E2080000}"/>
    <cellStyle name="Comma 5 13" xfId="1876" xr:uid="{00000000-0005-0000-0000-0000E3080000}"/>
    <cellStyle name="Comma 5 14" xfId="1877" xr:uid="{00000000-0005-0000-0000-0000E4080000}"/>
    <cellStyle name="Comma 5 15" xfId="1878" xr:uid="{00000000-0005-0000-0000-0000E5080000}"/>
    <cellStyle name="Comma 5 16" xfId="1879" xr:uid="{00000000-0005-0000-0000-0000E6080000}"/>
    <cellStyle name="Comma 5 17" xfId="1880" xr:uid="{00000000-0005-0000-0000-0000E7080000}"/>
    <cellStyle name="Comma 5 17 2" xfId="1881" xr:uid="{00000000-0005-0000-0000-0000E8080000}"/>
    <cellStyle name="Comma 5 18" xfId="1882" xr:uid="{00000000-0005-0000-0000-0000E9080000}"/>
    <cellStyle name="Comma 5 19" xfId="1883" xr:uid="{00000000-0005-0000-0000-0000EA080000}"/>
    <cellStyle name="Comma 5 2" xfId="1884" xr:uid="{00000000-0005-0000-0000-0000EB080000}"/>
    <cellStyle name="Comma 5 2 2" xfId="1885" xr:uid="{00000000-0005-0000-0000-0000EC080000}"/>
    <cellStyle name="Comma 5 2 2 2" xfId="4689" xr:uid="{00000000-0005-0000-0000-0000ED080000}"/>
    <cellStyle name="Comma 5 2 3" xfId="4688" xr:uid="{00000000-0005-0000-0000-0000EE080000}"/>
    <cellStyle name="Comma 5 20" xfId="1886" xr:uid="{00000000-0005-0000-0000-0000EF080000}"/>
    <cellStyle name="Comma 5 21" xfId="4687" xr:uid="{00000000-0005-0000-0000-0000F0080000}"/>
    <cellStyle name="Comma 5 3" xfId="1887" xr:uid="{00000000-0005-0000-0000-0000F1080000}"/>
    <cellStyle name="Comma 5 3 2" xfId="1888" xr:uid="{00000000-0005-0000-0000-0000F2080000}"/>
    <cellStyle name="Comma 5 3 2 2" xfId="4691" xr:uid="{00000000-0005-0000-0000-0000F3080000}"/>
    <cellStyle name="Comma 5 3 3" xfId="4690" xr:uid="{00000000-0005-0000-0000-0000F4080000}"/>
    <cellStyle name="Comma 5 4" xfId="1889" xr:uid="{00000000-0005-0000-0000-0000F5080000}"/>
    <cellStyle name="Comma 5 4 2" xfId="1890" xr:uid="{00000000-0005-0000-0000-0000F6080000}"/>
    <cellStyle name="Comma 5 4 2 2" xfId="4693" xr:uid="{00000000-0005-0000-0000-0000F7080000}"/>
    <cellStyle name="Comma 5 4 3" xfId="4692" xr:uid="{00000000-0005-0000-0000-0000F8080000}"/>
    <cellStyle name="Comma 5 5" xfId="1891" xr:uid="{00000000-0005-0000-0000-0000F9080000}"/>
    <cellStyle name="Comma 5 5 2" xfId="1892" xr:uid="{00000000-0005-0000-0000-0000FA080000}"/>
    <cellStyle name="Comma 5 5 3" xfId="4694" xr:uid="{00000000-0005-0000-0000-0000FB080000}"/>
    <cellStyle name="Comma 5 6" xfId="1893" xr:uid="{00000000-0005-0000-0000-0000FC080000}"/>
    <cellStyle name="Comma 5 6 2" xfId="4695" xr:uid="{00000000-0005-0000-0000-0000FD080000}"/>
    <cellStyle name="Comma 5 7" xfId="1894" xr:uid="{00000000-0005-0000-0000-0000FE080000}"/>
    <cellStyle name="Comma 5 7 2" xfId="4696" xr:uid="{00000000-0005-0000-0000-0000FF080000}"/>
    <cellStyle name="Comma 5 8" xfId="1895" xr:uid="{00000000-0005-0000-0000-000000090000}"/>
    <cellStyle name="Comma 5 9" xfId="1896" xr:uid="{00000000-0005-0000-0000-000001090000}"/>
    <cellStyle name="Comma 5_05-12  KH trung han 2016-2020 - Liem Thinh edited" xfId="1897" xr:uid="{00000000-0005-0000-0000-000002090000}"/>
    <cellStyle name="Comma 50" xfId="1898" xr:uid="{00000000-0005-0000-0000-000003090000}"/>
    <cellStyle name="Comma 50 2" xfId="1899" xr:uid="{00000000-0005-0000-0000-000004090000}"/>
    <cellStyle name="Comma 50 3" xfId="4697" xr:uid="{00000000-0005-0000-0000-000005090000}"/>
    <cellStyle name="Comma 51" xfId="1900" xr:uid="{00000000-0005-0000-0000-000006090000}"/>
    <cellStyle name="Comma 51 2" xfId="1901" xr:uid="{00000000-0005-0000-0000-000007090000}"/>
    <cellStyle name="Comma 51 2 2" xfId="4699" xr:uid="{00000000-0005-0000-0000-000008090000}"/>
    <cellStyle name="Comma 51 3" xfId="4698" xr:uid="{00000000-0005-0000-0000-000009090000}"/>
    <cellStyle name="Comma 52" xfId="1902" xr:uid="{00000000-0005-0000-0000-00000A090000}"/>
    <cellStyle name="Comma 52 2" xfId="4700" xr:uid="{00000000-0005-0000-0000-00000B090000}"/>
    <cellStyle name="Comma 53" xfId="4701" xr:uid="{00000000-0005-0000-0000-00000C090000}"/>
    <cellStyle name="Comma 53 2" xfId="4702" xr:uid="{00000000-0005-0000-0000-00000D090000}"/>
    <cellStyle name="Comma 53 3" xfId="4703" xr:uid="{00000000-0005-0000-0000-00000E090000}"/>
    <cellStyle name="Comma 54" xfId="4704" xr:uid="{00000000-0005-0000-0000-00000F090000}"/>
    <cellStyle name="Comma 55" xfId="4705" xr:uid="{00000000-0005-0000-0000-000010090000}"/>
    <cellStyle name="Comma 56" xfId="4706" xr:uid="{00000000-0005-0000-0000-000011090000}"/>
    <cellStyle name="Comma 57" xfId="4707" xr:uid="{00000000-0005-0000-0000-000012090000}"/>
    <cellStyle name="Comma 57 2" xfId="4708" xr:uid="{00000000-0005-0000-0000-000013090000}"/>
    <cellStyle name="Comma 58" xfId="4709" xr:uid="{00000000-0005-0000-0000-000014090000}"/>
    <cellStyle name="Comma 58 2" xfId="4710" xr:uid="{00000000-0005-0000-0000-000015090000}"/>
    <cellStyle name="Comma 59" xfId="4711" xr:uid="{00000000-0005-0000-0000-000016090000}"/>
    <cellStyle name="Comma 6" xfId="8" xr:uid="{00000000-0005-0000-0000-000017090000}"/>
    <cellStyle name="Comma 6 2" xfId="1903" xr:uid="{00000000-0005-0000-0000-000018090000}"/>
    <cellStyle name="Comma 6 2 2" xfId="1904" xr:uid="{00000000-0005-0000-0000-000019090000}"/>
    <cellStyle name="Comma 6 2 2 2" xfId="4713" xr:uid="{00000000-0005-0000-0000-00001A090000}"/>
    <cellStyle name="Comma 6 2 3" xfId="4714" xr:uid="{00000000-0005-0000-0000-00001B090000}"/>
    <cellStyle name="Comma 6 3" xfId="1905" xr:uid="{00000000-0005-0000-0000-00001C090000}"/>
    <cellStyle name="Comma 6 3 2" xfId="4715" xr:uid="{00000000-0005-0000-0000-00001D090000}"/>
    <cellStyle name="Comma 6 4" xfId="1906" xr:uid="{00000000-0005-0000-0000-00001E090000}"/>
    <cellStyle name="Comma 6 4 2" xfId="4716" xr:uid="{00000000-0005-0000-0000-00001F090000}"/>
    <cellStyle name="Comma 6 5" xfId="4712" xr:uid="{00000000-0005-0000-0000-000020090000}"/>
    <cellStyle name="Comma 60" xfId="4717" xr:uid="{00000000-0005-0000-0000-000021090000}"/>
    <cellStyle name="Comma 61" xfId="4718" xr:uid="{00000000-0005-0000-0000-000022090000}"/>
    <cellStyle name="Comma 62" xfId="4719" xr:uid="{00000000-0005-0000-0000-000023090000}"/>
    <cellStyle name="Comma 63" xfId="4720" xr:uid="{00000000-0005-0000-0000-000024090000}"/>
    <cellStyle name="Comma 64" xfId="4721" xr:uid="{00000000-0005-0000-0000-000025090000}"/>
    <cellStyle name="Comma 64 2" xfId="4722" xr:uid="{00000000-0005-0000-0000-000026090000}"/>
    <cellStyle name="Comma 64 3" xfId="4723" xr:uid="{00000000-0005-0000-0000-000027090000}"/>
    <cellStyle name="Comma 64 3 2" xfId="4724" xr:uid="{00000000-0005-0000-0000-000028090000}"/>
    <cellStyle name="Comma 65" xfId="4725" xr:uid="{00000000-0005-0000-0000-000029090000}"/>
    <cellStyle name="Comma 66" xfId="4726" xr:uid="{00000000-0005-0000-0000-00002A090000}"/>
    <cellStyle name="Comma 67" xfId="4727" xr:uid="{00000000-0005-0000-0000-00002B090000}"/>
    <cellStyle name="Comma 67 2" xfId="4728" xr:uid="{00000000-0005-0000-0000-00002C090000}"/>
    <cellStyle name="Comma 68" xfId="4729" xr:uid="{00000000-0005-0000-0000-00002D090000}"/>
    <cellStyle name="Comma 68 2" xfId="4730" xr:uid="{00000000-0005-0000-0000-00002E090000}"/>
    <cellStyle name="Comma 69" xfId="4731" xr:uid="{00000000-0005-0000-0000-00002F090000}"/>
    <cellStyle name="Comma 69 2" xfId="4732" xr:uid="{00000000-0005-0000-0000-000030090000}"/>
    <cellStyle name="Comma 7" xfId="9" xr:uid="{00000000-0005-0000-0000-000031090000}"/>
    <cellStyle name="Comma 7 2" xfId="1907" xr:uid="{00000000-0005-0000-0000-000032090000}"/>
    <cellStyle name="Comma 7 2 2" xfId="4734" xr:uid="{00000000-0005-0000-0000-000033090000}"/>
    <cellStyle name="Comma 7 3" xfId="1908" xr:uid="{00000000-0005-0000-0000-000034090000}"/>
    <cellStyle name="Comma 7 3 2" xfId="1909" xr:uid="{00000000-0005-0000-0000-000035090000}"/>
    <cellStyle name="Comma 7 3 3" xfId="4735" xr:uid="{00000000-0005-0000-0000-000036090000}"/>
    <cellStyle name="Comma 7 4" xfId="4733" xr:uid="{00000000-0005-0000-0000-000037090000}"/>
    <cellStyle name="Comma 7_20131129 Nhu cau 2014_TPCP ODA (co hoan ung)" xfId="1910" xr:uid="{00000000-0005-0000-0000-000038090000}"/>
    <cellStyle name="Comma 70" xfId="4736" xr:uid="{00000000-0005-0000-0000-000039090000}"/>
    <cellStyle name="Comma 71" xfId="4737" xr:uid="{00000000-0005-0000-0000-00003A090000}"/>
    <cellStyle name="Comma 72" xfId="4738" xr:uid="{00000000-0005-0000-0000-00003B090000}"/>
    <cellStyle name="Comma 73" xfId="4739" xr:uid="{00000000-0005-0000-0000-00003C090000}"/>
    <cellStyle name="Comma 74" xfId="4740" xr:uid="{00000000-0005-0000-0000-00003D090000}"/>
    <cellStyle name="Comma 75" xfId="4741" xr:uid="{00000000-0005-0000-0000-00003E090000}"/>
    <cellStyle name="Comma 76" xfId="4742" xr:uid="{00000000-0005-0000-0000-00003F090000}"/>
    <cellStyle name="Comma 77" xfId="4743" xr:uid="{00000000-0005-0000-0000-000040090000}"/>
    <cellStyle name="Comma 78" xfId="4744" xr:uid="{00000000-0005-0000-0000-000041090000}"/>
    <cellStyle name="Comma 79" xfId="4745" xr:uid="{00000000-0005-0000-0000-000042090000}"/>
    <cellStyle name="Comma 8" xfId="1911" xr:uid="{00000000-0005-0000-0000-000043090000}"/>
    <cellStyle name="Comma 8 2" xfId="1912" xr:uid="{00000000-0005-0000-0000-000044090000}"/>
    <cellStyle name="Comma 8 2 2" xfId="1913" xr:uid="{00000000-0005-0000-0000-000045090000}"/>
    <cellStyle name="Comma 8 2 2 2" xfId="4748" xr:uid="{00000000-0005-0000-0000-000046090000}"/>
    <cellStyle name="Comma 8 2 3" xfId="4749" xr:uid="{00000000-0005-0000-0000-000047090000}"/>
    <cellStyle name="Comma 8 2 4" xfId="4747" xr:uid="{00000000-0005-0000-0000-000048090000}"/>
    <cellStyle name="Comma 8 3" xfId="1914" xr:uid="{00000000-0005-0000-0000-000049090000}"/>
    <cellStyle name="Comma 8 3 2" xfId="4750" xr:uid="{00000000-0005-0000-0000-00004A090000}"/>
    <cellStyle name="Comma 8 4" xfId="1915" xr:uid="{00000000-0005-0000-0000-00004B090000}"/>
    <cellStyle name="Comma 8 5" xfId="4746" xr:uid="{00000000-0005-0000-0000-00004C090000}"/>
    <cellStyle name="Comma 80" xfId="4751" xr:uid="{00000000-0005-0000-0000-00004D090000}"/>
    <cellStyle name="Comma 81" xfId="4752" xr:uid="{00000000-0005-0000-0000-00004E090000}"/>
    <cellStyle name="Comma 82" xfId="4753" xr:uid="{00000000-0005-0000-0000-00004F090000}"/>
    <cellStyle name="Comma 83" xfId="4754" xr:uid="{00000000-0005-0000-0000-000050090000}"/>
    <cellStyle name="Comma 84" xfId="4755" xr:uid="{00000000-0005-0000-0000-000051090000}"/>
    <cellStyle name="Comma 85" xfId="4454" xr:uid="{00000000-0005-0000-0000-000052090000}"/>
    <cellStyle name="Comma 86" xfId="5031" xr:uid="{00000000-0005-0000-0000-000053090000}"/>
    <cellStyle name="Comma 9" xfId="1916" xr:uid="{00000000-0005-0000-0000-000054090000}"/>
    <cellStyle name="Comma 9 2" xfId="1917" xr:uid="{00000000-0005-0000-0000-000055090000}"/>
    <cellStyle name="Comma 9 2 2" xfId="1918" xr:uid="{00000000-0005-0000-0000-000056090000}"/>
    <cellStyle name="Comma 9 2 2 2" xfId="4756" xr:uid="{00000000-0005-0000-0000-000057090000}"/>
    <cellStyle name="Comma 9 2 3" xfId="1919" xr:uid="{00000000-0005-0000-0000-000058090000}"/>
    <cellStyle name="Comma 9 2 3 2" xfId="4757" xr:uid="{00000000-0005-0000-0000-000059090000}"/>
    <cellStyle name="Comma 9 3" xfId="1920" xr:uid="{00000000-0005-0000-0000-00005A090000}"/>
    <cellStyle name="Comma 9 3 2" xfId="1921" xr:uid="{00000000-0005-0000-0000-00005B090000}"/>
    <cellStyle name="Comma 9 3 2 2" xfId="4758" xr:uid="{00000000-0005-0000-0000-00005C090000}"/>
    <cellStyle name="Comma 9 4" xfId="1922" xr:uid="{00000000-0005-0000-0000-00005D090000}"/>
    <cellStyle name="Comma 9 4 2" xfId="4759" xr:uid="{00000000-0005-0000-0000-00005E090000}"/>
    <cellStyle name="Comma 9 5" xfId="1923" xr:uid="{00000000-0005-0000-0000-00005F090000}"/>
    <cellStyle name="Comma 9 5 2" xfId="4760" xr:uid="{00000000-0005-0000-0000-000060090000}"/>
    <cellStyle name="comma zerodec" xfId="1924" xr:uid="{00000000-0005-0000-0000-000061090000}"/>
    <cellStyle name="Comma0" xfId="1925" xr:uid="{00000000-0005-0000-0000-000062090000}"/>
    <cellStyle name="Comma0 10" xfId="1926" xr:uid="{00000000-0005-0000-0000-000063090000}"/>
    <cellStyle name="Comma0 11" xfId="1927" xr:uid="{00000000-0005-0000-0000-000064090000}"/>
    <cellStyle name="Comma0 12" xfId="1928" xr:uid="{00000000-0005-0000-0000-000065090000}"/>
    <cellStyle name="Comma0 13" xfId="1929" xr:uid="{00000000-0005-0000-0000-000066090000}"/>
    <cellStyle name="Comma0 14" xfId="1930" xr:uid="{00000000-0005-0000-0000-000067090000}"/>
    <cellStyle name="Comma0 15" xfId="1931" xr:uid="{00000000-0005-0000-0000-000068090000}"/>
    <cellStyle name="Comma0 16" xfId="1932" xr:uid="{00000000-0005-0000-0000-000069090000}"/>
    <cellStyle name="Comma0 2" xfId="1933" xr:uid="{00000000-0005-0000-0000-00006A090000}"/>
    <cellStyle name="Comma0 2 2" xfId="1934" xr:uid="{00000000-0005-0000-0000-00006B090000}"/>
    <cellStyle name="Comma0 3" xfId="1935" xr:uid="{00000000-0005-0000-0000-00006C090000}"/>
    <cellStyle name="Comma0 4" xfId="1936" xr:uid="{00000000-0005-0000-0000-00006D090000}"/>
    <cellStyle name="Comma0 5" xfId="1937" xr:uid="{00000000-0005-0000-0000-00006E090000}"/>
    <cellStyle name="Comma0 6" xfId="1938" xr:uid="{00000000-0005-0000-0000-00006F090000}"/>
    <cellStyle name="Comma0 7" xfId="1939" xr:uid="{00000000-0005-0000-0000-000070090000}"/>
    <cellStyle name="Comma0 8" xfId="1940" xr:uid="{00000000-0005-0000-0000-000071090000}"/>
    <cellStyle name="Comma0 9" xfId="1941" xr:uid="{00000000-0005-0000-0000-000072090000}"/>
    <cellStyle name="Company Name" xfId="1942" xr:uid="{00000000-0005-0000-0000-000073090000}"/>
    <cellStyle name="cong" xfId="1943" xr:uid="{00000000-0005-0000-0000-000074090000}"/>
    <cellStyle name="Copied" xfId="1944" xr:uid="{00000000-0005-0000-0000-000075090000}"/>
    <cellStyle name="Co聭ma_Sheet1" xfId="1945" xr:uid="{00000000-0005-0000-0000-000076090000}"/>
    <cellStyle name="CR Comma" xfId="1946" xr:uid="{00000000-0005-0000-0000-000077090000}"/>
    <cellStyle name="CR Currency" xfId="1947" xr:uid="{00000000-0005-0000-0000-000078090000}"/>
    <cellStyle name="Credit" xfId="1948" xr:uid="{00000000-0005-0000-0000-000079090000}"/>
    <cellStyle name="Credit subtotal" xfId="1949" xr:uid="{00000000-0005-0000-0000-00007A090000}"/>
    <cellStyle name="Credit Total" xfId="1950" xr:uid="{00000000-0005-0000-0000-00007B090000}"/>
    <cellStyle name="Cࡵrrency_Sheet1_PRODUCTĠ" xfId="1951" xr:uid="{00000000-0005-0000-0000-00007C090000}"/>
    <cellStyle name="Curråncy [0]_FCST_RESULTS" xfId="1952" xr:uid="{00000000-0005-0000-0000-00007D090000}"/>
    <cellStyle name="Currency %" xfId="1953" xr:uid="{00000000-0005-0000-0000-00007E090000}"/>
    <cellStyle name="Currency % 10" xfId="1954" xr:uid="{00000000-0005-0000-0000-00007F090000}"/>
    <cellStyle name="Currency % 11" xfId="1955" xr:uid="{00000000-0005-0000-0000-000080090000}"/>
    <cellStyle name="Currency % 12" xfId="1956" xr:uid="{00000000-0005-0000-0000-000081090000}"/>
    <cellStyle name="Currency % 13" xfId="1957" xr:uid="{00000000-0005-0000-0000-000082090000}"/>
    <cellStyle name="Currency % 14" xfId="1958" xr:uid="{00000000-0005-0000-0000-000083090000}"/>
    <cellStyle name="Currency % 15" xfId="1959" xr:uid="{00000000-0005-0000-0000-000084090000}"/>
    <cellStyle name="Currency % 2" xfId="1960" xr:uid="{00000000-0005-0000-0000-000085090000}"/>
    <cellStyle name="Currency % 3" xfId="1961" xr:uid="{00000000-0005-0000-0000-000086090000}"/>
    <cellStyle name="Currency % 4" xfId="1962" xr:uid="{00000000-0005-0000-0000-000087090000}"/>
    <cellStyle name="Currency % 5" xfId="1963" xr:uid="{00000000-0005-0000-0000-000088090000}"/>
    <cellStyle name="Currency % 6" xfId="1964" xr:uid="{00000000-0005-0000-0000-000089090000}"/>
    <cellStyle name="Currency % 7" xfId="1965" xr:uid="{00000000-0005-0000-0000-00008A090000}"/>
    <cellStyle name="Currency % 8" xfId="1966" xr:uid="{00000000-0005-0000-0000-00008B090000}"/>
    <cellStyle name="Currency % 9" xfId="1967" xr:uid="{00000000-0005-0000-0000-00008C090000}"/>
    <cellStyle name="Currency %_05-12  KH trung han 2016-2020 - Liem Thinh edited" xfId="1968" xr:uid="{00000000-0005-0000-0000-00008D090000}"/>
    <cellStyle name="Currency [0]ßmud plant bolted_RESULTS" xfId="1969" xr:uid="{00000000-0005-0000-0000-00008E090000}"/>
    <cellStyle name="Currency [00]" xfId="1970" xr:uid="{00000000-0005-0000-0000-00008F090000}"/>
    <cellStyle name="Currency [00] 10" xfId="1971" xr:uid="{00000000-0005-0000-0000-000090090000}"/>
    <cellStyle name="Currency [00] 11" xfId="1972" xr:uid="{00000000-0005-0000-0000-000091090000}"/>
    <cellStyle name="Currency [00] 12" xfId="1973" xr:uid="{00000000-0005-0000-0000-000092090000}"/>
    <cellStyle name="Currency [00] 13" xfId="1974" xr:uid="{00000000-0005-0000-0000-000093090000}"/>
    <cellStyle name="Currency [00] 14" xfId="1975" xr:uid="{00000000-0005-0000-0000-000094090000}"/>
    <cellStyle name="Currency [00] 15" xfId="1976" xr:uid="{00000000-0005-0000-0000-000095090000}"/>
    <cellStyle name="Currency [00] 16" xfId="1977" xr:uid="{00000000-0005-0000-0000-000096090000}"/>
    <cellStyle name="Currency [00] 2" xfId="1978" xr:uid="{00000000-0005-0000-0000-000097090000}"/>
    <cellStyle name="Currency [00] 3" xfId="1979" xr:uid="{00000000-0005-0000-0000-000098090000}"/>
    <cellStyle name="Currency [00] 4" xfId="1980" xr:uid="{00000000-0005-0000-0000-000099090000}"/>
    <cellStyle name="Currency [00] 5" xfId="1981" xr:uid="{00000000-0005-0000-0000-00009A090000}"/>
    <cellStyle name="Currency [00] 6" xfId="1982" xr:uid="{00000000-0005-0000-0000-00009B090000}"/>
    <cellStyle name="Currency [00] 7" xfId="1983" xr:uid="{00000000-0005-0000-0000-00009C090000}"/>
    <cellStyle name="Currency [00] 8" xfId="1984" xr:uid="{00000000-0005-0000-0000-00009D090000}"/>
    <cellStyle name="Currency [00] 9" xfId="1985" xr:uid="{00000000-0005-0000-0000-00009E090000}"/>
    <cellStyle name="Currency 0.0" xfId="1986" xr:uid="{00000000-0005-0000-0000-00009F090000}"/>
    <cellStyle name="Currency 0.0%" xfId="1987" xr:uid="{00000000-0005-0000-0000-0000A0090000}"/>
    <cellStyle name="Currency 0.0_05-12  KH trung han 2016-2020 - Liem Thinh edited" xfId="1988" xr:uid="{00000000-0005-0000-0000-0000A1090000}"/>
    <cellStyle name="Currency 0.00" xfId="1989" xr:uid="{00000000-0005-0000-0000-0000A2090000}"/>
    <cellStyle name="Currency 0.00%" xfId="1990" xr:uid="{00000000-0005-0000-0000-0000A3090000}"/>
    <cellStyle name="Currency 0.00_05-12  KH trung han 2016-2020 - Liem Thinh edited" xfId="1991" xr:uid="{00000000-0005-0000-0000-0000A4090000}"/>
    <cellStyle name="Currency 0.000" xfId="1992" xr:uid="{00000000-0005-0000-0000-0000A5090000}"/>
    <cellStyle name="Currency 0.000%" xfId="1993" xr:uid="{00000000-0005-0000-0000-0000A6090000}"/>
    <cellStyle name="Currency 0.000_05-12  KH trung han 2016-2020 - Liem Thinh edited" xfId="1994" xr:uid="{00000000-0005-0000-0000-0000A7090000}"/>
    <cellStyle name="Currency 2" xfId="1995" xr:uid="{00000000-0005-0000-0000-0000A8090000}"/>
    <cellStyle name="Currency 2 10" xfId="1996" xr:uid="{00000000-0005-0000-0000-0000A9090000}"/>
    <cellStyle name="Currency 2 11" xfId="1997" xr:uid="{00000000-0005-0000-0000-0000AA090000}"/>
    <cellStyle name="Currency 2 12" xfId="1998" xr:uid="{00000000-0005-0000-0000-0000AB090000}"/>
    <cellStyle name="Currency 2 13" xfId="1999" xr:uid="{00000000-0005-0000-0000-0000AC090000}"/>
    <cellStyle name="Currency 2 14" xfId="2000" xr:uid="{00000000-0005-0000-0000-0000AD090000}"/>
    <cellStyle name="Currency 2 15" xfId="2001" xr:uid="{00000000-0005-0000-0000-0000AE090000}"/>
    <cellStyle name="Currency 2 16" xfId="2002" xr:uid="{00000000-0005-0000-0000-0000AF090000}"/>
    <cellStyle name="Currency 2 2" xfId="2003" xr:uid="{00000000-0005-0000-0000-0000B0090000}"/>
    <cellStyle name="Currency 2 2 2" xfId="4761" xr:uid="{00000000-0005-0000-0000-0000B1090000}"/>
    <cellStyle name="Currency 2 3" xfId="2004" xr:uid="{00000000-0005-0000-0000-0000B2090000}"/>
    <cellStyle name="Currency 2 4" xfId="2005" xr:uid="{00000000-0005-0000-0000-0000B3090000}"/>
    <cellStyle name="Currency 2 5" xfId="2006" xr:uid="{00000000-0005-0000-0000-0000B4090000}"/>
    <cellStyle name="Currency 2 6" xfId="2007" xr:uid="{00000000-0005-0000-0000-0000B5090000}"/>
    <cellStyle name="Currency 2 7" xfId="2008" xr:uid="{00000000-0005-0000-0000-0000B6090000}"/>
    <cellStyle name="Currency 2 8" xfId="2009" xr:uid="{00000000-0005-0000-0000-0000B7090000}"/>
    <cellStyle name="Currency 2 9" xfId="2010" xr:uid="{00000000-0005-0000-0000-0000B8090000}"/>
    <cellStyle name="Currency 3" xfId="4762" xr:uid="{00000000-0005-0000-0000-0000B9090000}"/>
    <cellStyle name="Currency 4" xfId="4763" xr:uid="{00000000-0005-0000-0000-0000BA090000}"/>
    <cellStyle name="Currency 4 2" xfId="4764" xr:uid="{00000000-0005-0000-0000-0000BB090000}"/>
    <cellStyle name="Currency 5" xfId="4765" xr:uid="{00000000-0005-0000-0000-0000BC090000}"/>
    <cellStyle name="Currency![0]_FCSt (2)" xfId="2011" xr:uid="{00000000-0005-0000-0000-0000BD090000}"/>
    <cellStyle name="Currency0" xfId="2012" xr:uid="{00000000-0005-0000-0000-0000BE090000}"/>
    <cellStyle name="Currency0 10" xfId="2013" xr:uid="{00000000-0005-0000-0000-0000BF090000}"/>
    <cellStyle name="Currency0 11" xfId="2014" xr:uid="{00000000-0005-0000-0000-0000C0090000}"/>
    <cellStyle name="Currency0 12" xfId="2015" xr:uid="{00000000-0005-0000-0000-0000C1090000}"/>
    <cellStyle name="Currency0 13" xfId="2016" xr:uid="{00000000-0005-0000-0000-0000C2090000}"/>
    <cellStyle name="Currency0 14" xfId="2017" xr:uid="{00000000-0005-0000-0000-0000C3090000}"/>
    <cellStyle name="Currency0 15" xfId="2018" xr:uid="{00000000-0005-0000-0000-0000C4090000}"/>
    <cellStyle name="Currency0 16" xfId="2019" xr:uid="{00000000-0005-0000-0000-0000C5090000}"/>
    <cellStyle name="Currency0 2" xfId="2020" xr:uid="{00000000-0005-0000-0000-0000C6090000}"/>
    <cellStyle name="Currency0 2 2" xfId="2021" xr:uid="{00000000-0005-0000-0000-0000C7090000}"/>
    <cellStyle name="Currency0 3" xfId="2022" xr:uid="{00000000-0005-0000-0000-0000C8090000}"/>
    <cellStyle name="Currency0 4" xfId="2023" xr:uid="{00000000-0005-0000-0000-0000C9090000}"/>
    <cellStyle name="Currency0 5" xfId="2024" xr:uid="{00000000-0005-0000-0000-0000CA090000}"/>
    <cellStyle name="Currency0 6" xfId="2025" xr:uid="{00000000-0005-0000-0000-0000CB090000}"/>
    <cellStyle name="Currency0 7" xfId="2026" xr:uid="{00000000-0005-0000-0000-0000CC090000}"/>
    <cellStyle name="Currency0 8" xfId="2027" xr:uid="{00000000-0005-0000-0000-0000CD090000}"/>
    <cellStyle name="Currency0 9" xfId="2028" xr:uid="{00000000-0005-0000-0000-0000CE090000}"/>
    <cellStyle name="Currency1" xfId="2029" xr:uid="{00000000-0005-0000-0000-0000CF090000}"/>
    <cellStyle name="Currency1 10" xfId="2030" xr:uid="{00000000-0005-0000-0000-0000D0090000}"/>
    <cellStyle name="Currency1 11" xfId="2031" xr:uid="{00000000-0005-0000-0000-0000D1090000}"/>
    <cellStyle name="Currency1 12" xfId="2032" xr:uid="{00000000-0005-0000-0000-0000D2090000}"/>
    <cellStyle name="Currency1 13" xfId="2033" xr:uid="{00000000-0005-0000-0000-0000D3090000}"/>
    <cellStyle name="Currency1 14" xfId="2034" xr:uid="{00000000-0005-0000-0000-0000D4090000}"/>
    <cellStyle name="Currency1 15" xfId="2035" xr:uid="{00000000-0005-0000-0000-0000D5090000}"/>
    <cellStyle name="Currency1 16" xfId="2036" xr:uid="{00000000-0005-0000-0000-0000D6090000}"/>
    <cellStyle name="Currency1 2" xfId="2037" xr:uid="{00000000-0005-0000-0000-0000D7090000}"/>
    <cellStyle name="Currency1 2 2" xfId="2038" xr:uid="{00000000-0005-0000-0000-0000D8090000}"/>
    <cellStyle name="Currency1 3" xfId="2039" xr:uid="{00000000-0005-0000-0000-0000D9090000}"/>
    <cellStyle name="Currency1 4" xfId="2040" xr:uid="{00000000-0005-0000-0000-0000DA090000}"/>
    <cellStyle name="Currency1 5" xfId="2041" xr:uid="{00000000-0005-0000-0000-0000DB090000}"/>
    <cellStyle name="Currency1 6" xfId="2042" xr:uid="{00000000-0005-0000-0000-0000DC090000}"/>
    <cellStyle name="Currency1 7" xfId="2043" xr:uid="{00000000-0005-0000-0000-0000DD090000}"/>
    <cellStyle name="Currency1 8" xfId="2044" xr:uid="{00000000-0005-0000-0000-0000DE090000}"/>
    <cellStyle name="Currency1 9" xfId="2045" xr:uid="{00000000-0005-0000-0000-0000DF090000}"/>
    <cellStyle name="D1" xfId="2049" xr:uid="{00000000-0005-0000-0000-0000E0090000}"/>
    <cellStyle name="Date" xfId="2050" xr:uid="{00000000-0005-0000-0000-0000E1090000}"/>
    <cellStyle name="Date 10" xfId="2051" xr:uid="{00000000-0005-0000-0000-0000E2090000}"/>
    <cellStyle name="Date 11" xfId="2052" xr:uid="{00000000-0005-0000-0000-0000E3090000}"/>
    <cellStyle name="Date 12" xfId="2053" xr:uid="{00000000-0005-0000-0000-0000E4090000}"/>
    <cellStyle name="Date 13" xfId="2054" xr:uid="{00000000-0005-0000-0000-0000E5090000}"/>
    <cellStyle name="Date 14" xfId="2055" xr:uid="{00000000-0005-0000-0000-0000E6090000}"/>
    <cellStyle name="Date 15" xfId="2056" xr:uid="{00000000-0005-0000-0000-0000E7090000}"/>
    <cellStyle name="Date 16" xfId="2057" xr:uid="{00000000-0005-0000-0000-0000E8090000}"/>
    <cellStyle name="Date 2" xfId="2058" xr:uid="{00000000-0005-0000-0000-0000E9090000}"/>
    <cellStyle name="Date 2 2" xfId="2059" xr:uid="{00000000-0005-0000-0000-0000EA090000}"/>
    <cellStyle name="Date 3" xfId="2060" xr:uid="{00000000-0005-0000-0000-0000EB090000}"/>
    <cellStyle name="Date 4" xfId="2061" xr:uid="{00000000-0005-0000-0000-0000EC090000}"/>
    <cellStyle name="Date 5" xfId="2062" xr:uid="{00000000-0005-0000-0000-0000ED090000}"/>
    <cellStyle name="Date 6" xfId="2063" xr:uid="{00000000-0005-0000-0000-0000EE090000}"/>
    <cellStyle name="Date 7" xfId="2064" xr:uid="{00000000-0005-0000-0000-0000EF090000}"/>
    <cellStyle name="Date 8" xfId="2065" xr:uid="{00000000-0005-0000-0000-0000F0090000}"/>
    <cellStyle name="Date 9" xfId="2066" xr:uid="{00000000-0005-0000-0000-0000F1090000}"/>
    <cellStyle name="Date Short" xfId="2067" xr:uid="{00000000-0005-0000-0000-0000F2090000}"/>
    <cellStyle name="Date Short 2" xfId="2068" xr:uid="{00000000-0005-0000-0000-0000F3090000}"/>
    <cellStyle name="Date_Book1" xfId="2069" xr:uid="{00000000-0005-0000-0000-0000F4090000}"/>
    <cellStyle name="Dấu_phảy 2" xfId="2071" xr:uid="{00000000-0005-0000-0000-0000F5090000}"/>
    <cellStyle name="DAUDE" xfId="2070" xr:uid="{00000000-0005-0000-0000-0000F6090000}"/>
    <cellStyle name="Debit" xfId="2072" xr:uid="{00000000-0005-0000-0000-0000F7090000}"/>
    <cellStyle name="Debit subtotal" xfId="2073" xr:uid="{00000000-0005-0000-0000-0000F8090000}"/>
    <cellStyle name="Debit Total" xfId="2074" xr:uid="{00000000-0005-0000-0000-0000F9090000}"/>
    <cellStyle name="DELTA" xfId="2075" xr:uid="{00000000-0005-0000-0000-0000FA090000}"/>
    <cellStyle name="DELTA 10" xfId="2076" xr:uid="{00000000-0005-0000-0000-0000FB090000}"/>
    <cellStyle name="DELTA 11" xfId="2077" xr:uid="{00000000-0005-0000-0000-0000FC090000}"/>
    <cellStyle name="DELTA 12" xfId="2078" xr:uid="{00000000-0005-0000-0000-0000FD090000}"/>
    <cellStyle name="DELTA 13" xfId="2079" xr:uid="{00000000-0005-0000-0000-0000FE090000}"/>
    <cellStyle name="DELTA 14" xfId="2080" xr:uid="{00000000-0005-0000-0000-0000FF090000}"/>
    <cellStyle name="DELTA 15" xfId="2081" xr:uid="{00000000-0005-0000-0000-0000000A0000}"/>
    <cellStyle name="DELTA 2" xfId="2082" xr:uid="{00000000-0005-0000-0000-0000010A0000}"/>
    <cellStyle name="DELTA 3" xfId="2083" xr:uid="{00000000-0005-0000-0000-0000020A0000}"/>
    <cellStyle name="DELTA 4" xfId="2084" xr:uid="{00000000-0005-0000-0000-0000030A0000}"/>
    <cellStyle name="DELTA 5" xfId="2085" xr:uid="{00000000-0005-0000-0000-0000040A0000}"/>
    <cellStyle name="DELTA 6" xfId="2086" xr:uid="{00000000-0005-0000-0000-0000050A0000}"/>
    <cellStyle name="DELTA 7" xfId="2087" xr:uid="{00000000-0005-0000-0000-0000060A0000}"/>
    <cellStyle name="DELTA 8" xfId="2088" xr:uid="{00000000-0005-0000-0000-0000070A0000}"/>
    <cellStyle name="DELTA 9" xfId="2089" xr:uid="{00000000-0005-0000-0000-0000080A0000}"/>
    <cellStyle name="Dezimal [0]_35ERI8T2gbIEMixb4v26icuOo" xfId="2090" xr:uid="{00000000-0005-0000-0000-0000090A0000}"/>
    <cellStyle name="Dezimal_35ERI8T2gbIEMixb4v26icuOo" xfId="2091" xr:uid="{00000000-0005-0000-0000-00000A0A0000}"/>
    <cellStyle name="Dg" xfId="2092" xr:uid="{00000000-0005-0000-0000-00000B0A0000}"/>
    <cellStyle name="Dgia" xfId="2093" xr:uid="{00000000-0005-0000-0000-00000C0A0000}"/>
    <cellStyle name="Dgia 2" xfId="2094" xr:uid="{00000000-0005-0000-0000-00000D0A0000}"/>
    <cellStyle name="Dollar (zero dec)" xfId="2095" xr:uid="{00000000-0005-0000-0000-00000E0A0000}"/>
    <cellStyle name="Dollar (zero dec) 10" xfId="2096" xr:uid="{00000000-0005-0000-0000-00000F0A0000}"/>
    <cellStyle name="Dollar (zero dec) 11" xfId="2097" xr:uid="{00000000-0005-0000-0000-0000100A0000}"/>
    <cellStyle name="Dollar (zero dec) 12" xfId="2098" xr:uid="{00000000-0005-0000-0000-0000110A0000}"/>
    <cellStyle name="Dollar (zero dec) 13" xfId="2099" xr:uid="{00000000-0005-0000-0000-0000120A0000}"/>
    <cellStyle name="Dollar (zero dec) 14" xfId="2100" xr:uid="{00000000-0005-0000-0000-0000130A0000}"/>
    <cellStyle name="Dollar (zero dec) 15" xfId="2101" xr:uid="{00000000-0005-0000-0000-0000140A0000}"/>
    <cellStyle name="Dollar (zero dec) 16" xfId="2102" xr:uid="{00000000-0005-0000-0000-0000150A0000}"/>
    <cellStyle name="Dollar (zero dec) 2" xfId="2103" xr:uid="{00000000-0005-0000-0000-0000160A0000}"/>
    <cellStyle name="Dollar (zero dec) 2 2" xfId="2104" xr:uid="{00000000-0005-0000-0000-0000170A0000}"/>
    <cellStyle name="Dollar (zero dec) 3" xfId="2105" xr:uid="{00000000-0005-0000-0000-0000180A0000}"/>
    <cellStyle name="Dollar (zero dec) 4" xfId="2106" xr:uid="{00000000-0005-0000-0000-0000190A0000}"/>
    <cellStyle name="Dollar (zero dec) 5" xfId="2107" xr:uid="{00000000-0005-0000-0000-00001A0A0000}"/>
    <cellStyle name="Dollar (zero dec) 6" xfId="2108" xr:uid="{00000000-0005-0000-0000-00001B0A0000}"/>
    <cellStyle name="Dollar (zero dec) 7" xfId="2109" xr:uid="{00000000-0005-0000-0000-00001C0A0000}"/>
    <cellStyle name="Dollar (zero dec) 8" xfId="2110" xr:uid="{00000000-0005-0000-0000-00001D0A0000}"/>
    <cellStyle name="Dollar (zero dec) 9" xfId="2111" xr:uid="{00000000-0005-0000-0000-00001E0A0000}"/>
    <cellStyle name="Don gia" xfId="2112" xr:uid="{00000000-0005-0000-0000-00001F0A0000}"/>
    <cellStyle name="Dziesi?tny [0]_Invoices2001Slovakia" xfId="2113" xr:uid="{00000000-0005-0000-0000-0000200A0000}"/>
    <cellStyle name="Dziesi?tny_Invoices2001Slovakia" xfId="2114" xr:uid="{00000000-0005-0000-0000-0000210A0000}"/>
    <cellStyle name="Dziesietny [0]_Invoices2001Slovakia" xfId="2115" xr:uid="{00000000-0005-0000-0000-0000220A0000}"/>
    <cellStyle name="Dziesiętny [0]_Invoices2001Slovakia" xfId="2116" xr:uid="{00000000-0005-0000-0000-0000230A0000}"/>
    <cellStyle name="Dziesietny [0]_Invoices2001Slovakia 2" xfId="2117" xr:uid="{00000000-0005-0000-0000-0000240A0000}"/>
    <cellStyle name="Dziesiętny [0]_Invoices2001Slovakia 2" xfId="2118" xr:uid="{00000000-0005-0000-0000-0000250A0000}"/>
    <cellStyle name="Dziesietny [0]_Invoices2001Slovakia 3" xfId="2119" xr:uid="{00000000-0005-0000-0000-0000260A0000}"/>
    <cellStyle name="Dziesiętny [0]_Invoices2001Slovakia 3" xfId="2120" xr:uid="{00000000-0005-0000-0000-0000270A0000}"/>
    <cellStyle name="Dziesietny [0]_Invoices2001Slovakia 4" xfId="2121" xr:uid="{00000000-0005-0000-0000-0000280A0000}"/>
    <cellStyle name="Dziesiętny [0]_Invoices2001Slovakia 4" xfId="2122" xr:uid="{00000000-0005-0000-0000-0000290A0000}"/>
    <cellStyle name="Dziesietny [0]_Invoices2001Slovakia 5" xfId="2123" xr:uid="{00000000-0005-0000-0000-00002A0A0000}"/>
    <cellStyle name="Dziesiętny [0]_Invoices2001Slovakia 5" xfId="2124" xr:uid="{00000000-0005-0000-0000-00002B0A0000}"/>
    <cellStyle name="Dziesietny [0]_Invoices2001Slovakia 6" xfId="2125" xr:uid="{00000000-0005-0000-0000-00002C0A0000}"/>
    <cellStyle name="Dziesiętny [0]_Invoices2001Slovakia 6" xfId="2126" xr:uid="{00000000-0005-0000-0000-00002D0A0000}"/>
    <cellStyle name="Dziesietny [0]_Invoices2001Slovakia 7" xfId="2127" xr:uid="{00000000-0005-0000-0000-00002E0A0000}"/>
    <cellStyle name="Dziesiętny [0]_Invoices2001Slovakia 7" xfId="2128" xr:uid="{00000000-0005-0000-0000-00002F0A0000}"/>
    <cellStyle name="Dziesietny [0]_Invoices2001Slovakia_01_Nha so 1_Dien" xfId="2129" xr:uid="{00000000-0005-0000-0000-0000300A0000}"/>
    <cellStyle name="Dziesiętny [0]_Invoices2001Slovakia_01_Nha so 1_Dien" xfId="2130" xr:uid="{00000000-0005-0000-0000-0000310A0000}"/>
    <cellStyle name="Dziesietny [0]_Invoices2001Slovakia_05-12  KH trung han 2016-2020 - Liem Thinh edited" xfId="2131" xr:uid="{00000000-0005-0000-0000-0000320A0000}"/>
    <cellStyle name="Dziesiętny [0]_Invoices2001Slovakia_05-12  KH trung han 2016-2020 - Liem Thinh edited" xfId="2132" xr:uid="{00000000-0005-0000-0000-0000330A0000}"/>
    <cellStyle name="Dziesietny [0]_Invoices2001Slovakia_10_Nha so 10_Dien1" xfId="2133" xr:uid="{00000000-0005-0000-0000-0000340A0000}"/>
    <cellStyle name="Dziesiętny [0]_Invoices2001Slovakia_10_Nha so 10_Dien1" xfId="2134" xr:uid="{00000000-0005-0000-0000-0000350A0000}"/>
    <cellStyle name="Dziesietny [0]_Invoices2001Slovakia_Book1" xfId="2135" xr:uid="{00000000-0005-0000-0000-0000360A0000}"/>
    <cellStyle name="Dziesiętny [0]_Invoices2001Slovakia_Book1" xfId="2136" xr:uid="{00000000-0005-0000-0000-0000370A0000}"/>
    <cellStyle name="Dziesietny [0]_Invoices2001Slovakia_Book1_1" xfId="2137" xr:uid="{00000000-0005-0000-0000-0000380A0000}"/>
    <cellStyle name="Dziesiętny [0]_Invoices2001Slovakia_Book1_1" xfId="2138" xr:uid="{00000000-0005-0000-0000-0000390A0000}"/>
    <cellStyle name="Dziesietny [0]_Invoices2001Slovakia_Book1_1_Book1" xfId="2139" xr:uid="{00000000-0005-0000-0000-00003A0A0000}"/>
    <cellStyle name="Dziesiętny [0]_Invoices2001Slovakia_Book1_1_Book1" xfId="2140" xr:uid="{00000000-0005-0000-0000-00003B0A0000}"/>
    <cellStyle name="Dziesietny [0]_Invoices2001Slovakia_Book1_2" xfId="2141" xr:uid="{00000000-0005-0000-0000-00003C0A0000}"/>
    <cellStyle name="Dziesiętny [0]_Invoices2001Slovakia_Book1_2" xfId="2142" xr:uid="{00000000-0005-0000-0000-00003D0A0000}"/>
    <cellStyle name="Dziesietny [0]_Invoices2001Slovakia_Book1_Nhu cau von ung truoc 2011 Tha h Hoa + Nge An gui TW" xfId="2143" xr:uid="{00000000-0005-0000-0000-00003E0A0000}"/>
    <cellStyle name="Dziesiętny [0]_Invoices2001Slovakia_Book1_Nhu cau von ung truoc 2011 Tha h Hoa + Nge An gui TW" xfId="2144" xr:uid="{00000000-0005-0000-0000-00003F0A0000}"/>
    <cellStyle name="Dziesietny [0]_Invoices2001Slovakia_Book1_Nhu cau von ung truoc 2011 Tha h Hoa + Nge An gui TW 2" xfId="4766" xr:uid="{00000000-0005-0000-0000-0000400A0000}"/>
    <cellStyle name="Dziesiętny [0]_Invoices2001Slovakia_Book1_Nhu cau von ung truoc 2011 Tha h Hoa + Nge An gui TW 2" xfId="4767" xr:uid="{00000000-0005-0000-0000-0000410A0000}"/>
    <cellStyle name="Dziesietny [0]_Invoices2001Slovakia_Book1_Tong hop Cac tuyen(9-1-06)" xfId="2145" xr:uid="{00000000-0005-0000-0000-0000420A0000}"/>
    <cellStyle name="Dziesiętny [0]_Invoices2001Slovakia_Book1_Tong hop Cac tuyen(9-1-06)" xfId="2146" xr:uid="{00000000-0005-0000-0000-0000430A0000}"/>
    <cellStyle name="Dziesietny [0]_Invoices2001Slovakia_Book1_Tong hop Cac tuyen(9-1-06) 2" xfId="4768" xr:uid="{00000000-0005-0000-0000-0000440A0000}"/>
    <cellStyle name="Dziesiętny [0]_Invoices2001Slovakia_Book1_Tong hop Cac tuyen(9-1-06) 2" xfId="4769" xr:uid="{00000000-0005-0000-0000-0000450A0000}"/>
    <cellStyle name="Dziesietny [0]_Invoices2001Slovakia_Book1_ung truoc 2011 NSTW Thanh Hoa + Nge An gui Thu 12-5" xfId="2147" xr:uid="{00000000-0005-0000-0000-0000460A0000}"/>
    <cellStyle name="Dziesiętny [0]_Invoices2001Slovakia_Book1_ung truoc 2011 NSTW Thanh Hoa + Nge An gui Thu 12-5" xfId="2148" xr:uid="{00000000-0005-0000-0000-0000470A0000}"/>
    <cellStyle name="Dziesietny [0]_Invoices2001Slovakia_Book1_ung truoc 2011 NSTW Thanh Hoa + Nge An gui Thu 12-5 2" xfId="4770" xr:uid="{00000000-0005-0000-0000-0000480A0000}"/>
    <cellStyle name="Dziesiętny [0]_Invoices2001Slovakia_Book1_ung truoc 2011 NSTW Thanh Hoa + Nge An gui Thu 12-5 2" xfId="4771" xr:uid="{00000000-0005-0000-0000-0000490A0000}"/>
    <cellStyle name="Dziesietny [0]_Invoices2001Slovakia_Copy of 05-12  KH trung han 2016-2020 - Liem Thinh edited (1)" xfId="2149" xr:uid="{00000000-0005-0000-0000-00004A0A0000}"/>
    <cellStyle name="Dziesiętny [0]_Invoices2001Slovakia_Copy of 05-12  KH trung han 2016-2020 - Liem Thinh edited (1)" xfId="2150" xr:uid="{00000000-0005-0000-0000-00004B0A0000}"/>
    <cellStyle name="Dziesietny [0]_Invoices2001Slovakia_d-uong+TDT" xfId="2151" xr:uid="{00000000-0005-0000-0000-00004C0A0000}"/>
    <cellStyle name="Dziesiętny [0]_Invoices2001Slovakia_KH TPCP 2016-2020 (tong hop)" xfId="2152" xr:uid="{00000000-0005-0000-0000-00004D0A0000}"/>
    <cellStyle name="Dziesietny [0]_Invoices2001Slovakia_Nha bao ve(28-7-05)" xfId="2153" xr:uid="{00000000-0005-0000-0000-00004E0A0000}"/>
    <cellStyle name="Dziesiętny [0]_Invoices2001Slovakia_Nha bao ve(28-7-05)" xfId="2154" xr:uid="{00000000-0005-0000-0000-00004F0A0000}"/>
    <cellStyle name="Dziesietny [0]_Invoices2001Slovakia_Nha bao ve(28-7-05) 2" xfId="4772" xr:uid="{00000000-0005-0000-0000-0000500A0000}"/>
    <cellStyle name="Dziesiętny [0]_Invoices2001Slovakia_Nha bao ve(28-7-05) 2" xfId="4773" xr:uid="{00000000-0005-0000-0000-0000510A0000}"/>
    <cellStyle name="Dziesietny [0]_Invoices2001Slovakia_NHA de xe nguyen du" xfId="2155" xr:uid="{00000000-0005-0000-0000-0000520A0000}"/>
    <cellStyle name="Dziesiętny [0]_Invoices2001Slovakia_NHA de xe nguyen du" xfId="2156" xr:uid="{00000000-0005-0000-0000-0000530A0000}"/>
    <cellStyle name="Dziesietny [0]_Invoices2001Slovakia_NHA de xe nguyen du 2" xfId="4774" xr:uid="{00000000-0005-0000-0000-0000540A0000}"/>
    <cellStyle name="Dziesiętny [0]_Invoices2001Slovakia_NHA de xe nguyen du 2" xfId="4775" xr:uid="{00000000-0005-0000-0000-0000550A0000}"/>
    <cellStyle name="Dziesietny [0]_Invoices2001Slovakia_Nhalamviec VTC(25-1-05)" xfId="2157" xr:uid="{00000000-0005-0000-0000-0000560A0000}"/>
    <cellStyle name="Dziesiętny [0]_Invoices2001Slovakia_Nhalamviec VTC(25-1-05)" xfId="2158" xr:uid="{00000000-0005-0000-0000-0000570A0000}"/>
    <cellStyle name="Dziesietny [0]_Invoices2001Slovakia_Nhalamviec VTC(25-1-05) 2" xfId="4776" xr:uid="{00000000-0005-0000-0000-0000580A0000}"/>
    <cellStyle name="Dziesiętny [0]_Invoices2001Slovakia_TDT KHANH HOA" xfId="2159" xr:uid="{00000000-0005-0000-0000-0000590A0000}"/>
    <cellStyle name="Dziesietny [0]_Invoices2001Slovakia_TDT KHANH HOA_Tong hop Cac tuyen(9-1-06)" xfId="2160" xr:uid="{00000000-0005-0000-0000-00005A0A0000}"/>
    <cellStyle name="Dziesiętny [0]_Invoices2001Slovakia_TDT KHANH HOA_Tong hop Cac tuyen(9-1-06)" xfId="2161" xr:uid="{00000000-0005-0000-0000-00005B0A0000}"/>
    <cellStyle name="Dziesietny [0]_Invoices2001Slovakia_TDT KHANH HOA_Tong hop Cac tuyen(9-1-06) 2" xfId="4777" xr:uid="{00000000-0005-0000-0000-00005C0A0000}"/>
    <cellStyle name="Dziesiętny [0]_Invoices2001Slovakia_TDT KHANH HOA_Tong hop Cac tuyen(9-1-06) 2" xfId="4778" xr:uid="{00000000-0005-0000-0000-00005D0A0000}"/>
    <cellStyle name="Dziesietny [0]_Invoices2001Slovakia_TDT quangngai" xfId="2162" xr:uid="{00000000-0005-0000-0000-00005E0A0000}"/>
    <cellStyle name="Dziesiętny [0]_Invoices2001Slovakia_TDT quangngai" xfId="2163" xr:uid="{00000000-0005-0000-0000-00005F0A0000}"/>
    <cellStyle name="Dziesietny [0]_Invoices2001Slovakia_TDT quangngai 2" xfId="4779" xr:uid="{00000000-0005-0000-0000-0000600A0000}"/>
    <cellStyle name="Dziesiętny [0]_Invoices2001Slovakia_TDT quangngai 2" xfId="4780" xr:uid="{00000000-0005-0000-0000-0000610A0000}"/>
    <cellStyle name="Dziesietny [0]_Invoices2001Slovakia_TMDT(10-5-06)" xfId="2164" xr:uid="{00000000-0005-0000-0000-0000620A0000}"/>
    <cellStyle name="Dziesietny_Invoices2001Slovakia" xfId="2165" xr:uid="{00000000-0005-0000-0000-0000630A0000}"/>
    <cellStyle name="Dziesiętny_Invoices2001Slovakia" xfId="2166" xr:uid="{00000000-0005-0000-0000-0000640A0000}"/>
    <cellStyle name="Dziesietny_Invoices2001Slovakia 2" xfId="2167" xr:uid="{00000000-0005-0000-0000-0000650A0000}"/>
    <cellStyle name="Dziesiętny_Invoices2001Slovakia 2" xfId="2168" xr:uid="{00000000-0005-0000-0000-0000660A0000}"/>
    <cellStyle name="Dziesietny_Invoices2001Slovakia 3" xfId="2169" xr:uid="{00000000-0005-0000-0000-0000670A0000}"/>
    <cellStyle name="Dziesiętny_Invoices2001Slovakia 3" xfId="2170" xr:uid="{00000000-0005-0000-0000-0000680A0000}"/>
    <cellStyle name="Dziesietny_Invoices2001Slovakia 4" xfId="2171" xr:uid="{00000000-0005-0000-0000-0000690A0000}"/>
    <cellStyle name="Dziesiętny_Invoices2001Slovakia 4" xfId="2172" xr:uid="{00000000-0005-0000-0000-00006A0A0000}"/>
    <cellStyle name="Dziesietny_Invoices2001Slovakia 5" xfId="2173" xr:uid="{00000000-0005-0000-0000-00006B0A0000}"/>
    <cellStyle name="Dziesiętny_Invoices2001Slovakia 5" xfId="2174" xr:uid="{00000000-0005-0000-0000-00006C0A0000}"/>
    <cellStyle name="Dziesietny_Invoices2001Slovakia 6" xfId="2175" xr:uid="{00000000-0005-0000-0000-00006D0A0000}"/>
    <cellStyle name="Dziesiętny_Invoices2001Slovakia 6" xfId="2176" xr:uid="{00000000-0005-0000-0000-00006E0A0000}"/>
    <cellStyle name="Dziesietny_Invoices2001Slovakia 7" xfId="2177" xr:uid="{00000000-0005-0000-0000-00006F0A0000}"/>
    <cellStyle name="Dziesiętny_Invoices2001Slovakia 7" xfId="2178" xr:uid="{00000000-0005-0000-0000-0000700A0000}"/>
    <cellStyle name="Dziesietny_Invoices2001Slovakia_01_Nha so 1_Dien" xfId="2179" xr:uid="{00000000-0005-0000-0000-0000710A0000}"/>
    <cellStyle name="Dziesiętny_Invoices2001Slovakia_01_Nha so 1_Dien" xfId="2180" xr:uid="{00000000-0005-0000-0000-0000720A0000}"/>
    <cellStyle name="Dziesietny_Invoices2001Slovakia_05-12  KH trung han 2016-2020 - Liem Thinh edited" xfId="2181" xr:uid="{00000000-0005-0000-0000-0000730A0000}"/>
    <cellStyle name="Dziesiętny_Invoices2001Slovakia_05-12  KH trung han 2016-2020 - Liem Thinh edited" xfId="2182" xr:uid="{00000000-0005-0000-0000-0000740A0000}"/>
    <cellStyle name="Dziesietny_Invoices2001Slovakia_10_Nha so 10_Dien1" xfId="2183" xr:uid="{00000000-0005-0000-0000-0000750A0000}"/>
    <cellStyle name="Dziesiętny_Invoices2001Slovakia_10_Nha so 10_Dien1" xfId="2184" xr:uid="{00000000-0005-0000-0000-0000760A0000}"/>
    <cellStyle name="Dziesietny_Invoices2001Slovakia_Book1" xfId="2185" xr:uid="{00000000-0005-0000-0000-0000770A0000}"/>
    <cellStyle name="Dziesiętny_Invoices2001Slovakia_Book1" xfId="2186" xr:uid="{00000000-0005-0000-0000-0000780A0000}"/>
    <cellStyle name="Dziesietny_Invoices2001Slovakia_Book1_1" xfId="2187" xr:uid="{00000000-0005-0000-0000-0000790A0000}"/>
    <cellStyle name="Dziesiętny_Invoices2001Slovakia_Book1_1" xfId="2188" xr:uid="{00000000-0005-0000-0000-00007A0A0000}"/>
    <cellStyle name="Dziesietny_Invoices2001Slovakia_Book1_1_Book1" xfId="2189" xr:uid="{00000000-0005-0000-0000-00007B0A0000}"/>
    <cellStyle name="Dziesiętny_Invoices2001Slovakia_Book1_1_Book1" xfId="2190" xr:uid="{00000000-0005-0000-0000-00007C0A0000}"/>
    <cellStyle name="Dziesietny_Invoices2001Slovakia_Book1_2" xfId="2191" xr:uid="{00000000-0005-0000-0000-00007D0A0000}"/>
    <cellStyle name="Dziesiętny_Invoices2001Slovakia_Book1_2" xfId="2192" xr:uid="{00000000-0005-0000-0000-00007E0A0000}"/>
    <cellStyle name="Dziesietny_Invoices2001Slovakia_Book1_Nhu cau von ung truoc 2011 Tha h Hoa + Nge An gui TW" xfId="2193" xr:uid="{00000000-0005-0000-0000-00007F0A0000}"/>
    <cellStyle name="Dziesiętny_Invoices2001Slovakia_Book1_Nhu cau von ung truoc 2011 Tha h Hoa + Nge An gui TW" xfId="2194" xr:uid="{00000000-0005-0000-0000-0000800A0000}"/>
    <cellStyle name="Dziesietny_Invoices2001Slovakia_Book1_Nhu cau von ung truoc 2011 Tha h Hoa + Nge An gui TW 2" xfId="4781" xr:uid="{00000000-0005-0000-0000-0000810A0000}"/>
    <cellStyle name="Dziesiętny_Invoices2001Slovakia_Book1_Nhu cau von ung truoc 2011 Tha h Hoa + Nge An gui TW 2" xfId="4782" xr:uid="{00000000-0005-0000-0000-0000820A0000}"/>
    <cellStyle name="Dziesietny_Invoices2001Slovakia_Book1_Tong hop Cac tuyen(9-1-06)" xfId="2195" xr:uid="{00000000-0005-0000-0000-0000830A0000}"/>
    <cellStyle name="Dziesiętny_Invoices2001Slovakia_Book1_Tong hop Cac tuyen(9-1-06)" xfId="2196" xr:uid="{00000000-0005-0000-0000-0000840A0000}"/>
    <cellStyle name="Dziesietny_Invoices2001Slovakia_Book1_Tong hop Cac tuyen(9-1-06) 2" xfId="4783" xr:uid="{00000000-0005-0000-0000-0000850A0000}"/>
    <cellStyle name="Dziesiętny_Invoices2001Slovakia_Book1_Tong hop Cac tuyen(9-1-06) 2" xfId="4784" xr:uid="{00000000-0005-0000-0000-0000860A0000}"/>
    <cellStyle name="Dziesietny_Invoices2001Slovakia_Book1_ung truoc 2011 NSTW Thanh Hoa + Nge An gui Thu 12-5" xfId="2197" xr:uid="{00000000-0005-0000-0000-0000870A0000}"/>
    <cellStyle name="Dziesiętny_Invoices2001Slovakia_Book1_ung truoc 2011 NSTW Thanh Hoa + Nge An gui Thu 12-5" xfId="2198" xr:uid="{00000000-0005-0000-0000-0000880A0000}"/>
    <cellStyle name="Dziesietny_Invoices2001Slovakia_Book1_ung truoc 2011 NSTW Thanh Hoa + Nge An gui Thu 12-5 2" xfId="4785" xr:uid="{00000000-0005-0000-0000-0000890A0000}"/>
    <cellStyle name="Dziesiętny_Invoices2001Slovakia_Book1_ung truoc 2011 NSTW Thanh Hoa + Nge An gui Thu 12-5 2" xfId="4786" xr:uid="{00000000-0005-0000-0000-00008A0A0000}"/>
    <cellStyle name="Dziesietny_Invoices2001Slovakia_Copy of 05-12  KH trung han 2016-2020 - Liem Thinh edited (1)" xfId="2199" xr:uid="{00000000-0005-0000-0000-00008B0A0000}"/>
    <cellStyle name="Dziesiętny_Invoices2001Slovakia_Copy of 05-12  KH trung han 2016-2020 - Liem Thinh edited (1)" xfId="2200" xr:uid="{00000000-0005-0000-0000-00008C0A0000}"/>
    <cellStyle name="Dziesietny_Invoices2001Slovakia_d-uong+TDT" xfId="2201" xr:uid="{00000000-0005-0000-0000-00008D0A0000}"/>
    <cellStyle name="Dziesiętny_Invoices2001Slovakia_KH TPCP 2016-2020 (tong hop)" xfId="2202" xr:uid="{00000000-0005-0000-0000-00008E0A0000}"/>
    <cellStyle name="Dziesietny_Invoices2001Slovakia_Nha bao ve(28-7-05)" xfId="2203" xr:uid="{00000000-0005-0000-0000-00008F0A0000}"/>
    <cellStyle name="Dziesiętny_Invoices2001Slovakia_Nha bao ve(28-7-05)" xfId="2204" xr:uid="{00000000-0005-0000-0000-0000900A0000}"/>
    <cellStyle name="Dziesietny_Invoices2001Slovakia_Nha bao ve(28-7-05) 2" xfId="4787" xr:uid="{00000000-0005-0000-0000-0000910A0000}"/>
    <cellStyle name="Dziesiętny_Invoices2001Slovakia_Nha bao ve(28-7-05) 2" xfId="4788" xr:uid="{00000000-0005-0000-0000-0000920A0000}"/>
    <cellStyle name="Dziesietny_Invoices2001Slovakia_NHA de xe nguyen du" xfId="2205" xr:uid="{00000000-0005-0000-0000-0000930A0000}"/>
    <cellStyle name="Dziesiętny_Invoices2001Slovakia_NHA de xe nguyen du" xfId="2206" xr:uid="{00000000-0005-0000-0000-0000940A0000}"/>
    <cellStyle name="Dziesietny_Invoices2001Slovakia_NHA de xe nguyen du 2" xfId="4789" xr:uid="{00000000-0005-0000-0000-0000950A0000}"/>
    <cellStyle name="Dziesiętny_Invoices2001Slovakia_NHA de xe nguyen du 2" xfId="4790" xr:uid="{00000000-0005-0000-0000-0000960A0000}"/>
    <cellStyle name="Dziesietny_Invoices2001Slovakia_Nhalamviec VTC(25-1-05)" xfId="2207" xr:uid="{00000000-0005-0000-0000-0000970A0000}"/>
    <cellStyle name="Dziesiętny_Invoices2001Slovakia_Nhalamviec VTC(25-1-05)" xfId="2208" xr:uid="{00000000-0005-0000-0000-0000980A0000}"/>
    <cellStyle name="Dziesietny_Invoices2001Slovakia_Nhalamviec VTC(25-1-05) 2" xfId="4791" xr:uid="{00000000-0005-0000-0000-0000990A0000}"/>
    <cellStyle name="Dziesiętny_Invoices2001Slovakia_TDT KHANH HOA" xfId="2209" xr:uid="{00000000-0005-0000-0000-00009A0A0000}"/>
    <cellStyle name="Dziesietny_Invoices2001Slovakia_TDT KHANH HOA_Tong hop Cac tuyen(9-1-06)" xfId="2210" xr:uid="{00000000-0005-0000-0000-00009B0A0000}"/>
    <cellStyle name="Dziesiętny_Invoices2001Slovakia_TDT KHANH HOA_Tong hop Cac tuyen(9-1-06)" xfId="2211" xr:uid="{00000000-0005-0000-0000-00009C0A0000}"/>
    <cellStyle name="Dziesietny_Invoices2001Slovakia_TDT KHANH HOA_Tong hop Cac tuyen(9-1-06) 2" xfId="4792" xr:uid="{00000000-0005-0000-0000-00009D0A0000}"/>
    <cellStyle name="Dziesiętny_Invoices2001Slovakia_TDT KHANH HOA_Tong hop Cac tuyen(9-1-06) 2" xfId="4793" xr:uid="{00000000-0005-0000-0000-00009E0A0000}"/>
    <cellStyle name="Dziesietny_Invoices2001Slovakia_TDT quangngai" xfId="2212" xr:uid="{00000000-0005-0000-0000-00009F0A0000}"/>
    <cellStyle name="Dziesiętny_Invoices2001Slovakia_TDT quangngai" xfId="2213" xr:uid="{00000000-0005-0000-0000-0000A00A0000}"/>
    <cellStyle name="Dziesietny_Invoices2001Slovakia_TDT quangngai 2" xfId="4794" xr:uid="{00000000-0005-0000-0000-0000A10A0000}"/>
    <cellStyle name="Dziesiętny_Invoices2001Slovakia_TDT quangngai 2" xfId="4795" xr:uid="{00000000-0005-0000-0000-0000A20A0000}"/>
    <cellStyle name="Dziesietny_Invoices2001Slovakia_TMDT(10-5-06)" xfId="2214" xr:uid="{00000000-0005-0000-0000-0000A30A0000}"/>
    <cellStyle name="e" xfId="2215" xr:uid="{00000000-0005-0000-0000-0000A40A0000}"/>
    <cellStyle name="Enter Currency (0)" xfId="2216" xr:uid="{00000000-0005-0000-0000-0000A50A0000}"/>
    <cellStyle name="Enter Currency (0) 10" xfId="2217" xr:uid="{00000000-0005-0000-0000-0000A60A0000}"/>
    <cellStyle name="Enter Currency (0) 11" xfId="2218" xr:uid="{00000000-0005-0000-0000-0000A70A0000}"/>
    <cellStyle name="Enter Currency (0) 12" xfId="2219" xr:uid="{00000000-0005-0000-0000-0000A80A0000}"/>
    <cellStyle name="Enter Currency (0) 13" xfId="2220" xr:uid="{00000000-0005-0000-0000-0000A90A0000}"/>
    <cellStyle name="Enter Currency (0) 14" xfId="2221" xr:uid="{00000000-0005-0000-0000-0000AA0A0000}"/>
    <cellStyle name="Enter Currency (0) 15" xfId="2222" xr:uid="{00000000-0005-0000-0000-0000AB0A0000}"/>
    <cellStyle name="Enter Currency (0) 16" xfId="2223" xr:uid="{00000000-0005-0000-0000-0000AC0A0000}"/>
    <cellStyle name="Enter Currency (0) 2" xfId="2224" xr:uid="{00000000-0005-0000-0000-0000AD0A0000}"/>
    <cellStyle name="Enter Currency (0) 3" xfId="2225" xr:uid="{00000000-0005-0000-0000-0000AE0A0000}"/>
    <cellStyle name="Enter Currency (0) 4" xfId="2226" xr:uid="{00000000-0005-0000-0000-0000AF0A0000}"/>
    <cellStyle name="Enter Currency (0) 5" xfId="2227" xr:uid="{00000000-0005-0000-0000-0000B00A0000}"/>
    <cellStyle name="Enter Currency (0) 6" xfId="2228" xr:uid="{00000000-0005-0000-0000-0000B10A0000}"/>
    <cellStyle name="Enter Currency (0) 7" xfId="2229" xr:uid="{00000000-0005-0000-0000-0000B20A0000}"/>
    <cellStyle name="Enter Currency (0) 8" xfId="2230" xr:uid="{00000000-0005-0000-0000-0000B30A0000}"/>
    <cellStyle name="Enter Currency (0) 9" xfId="2231" xr:uid="{00000000-0005-0000-0000-0000B40A0000}"/>
    <cellStyle name="Enter Currency (2)" xfId="2232" xr:uid="{00000000-0005-0000-0000-0000B50A0000}"/>
    <cellStyle name="Enter Currency (2) 10" xfId="2233" xr:uid="{00000000-0005-0000-0000-0000B60A0000}"/>
    <cellStyle name="Enter Currency (2) 11" xfId="2234" xr:uid="{00000000-0005-0000-0000-0000B70A0000}"/>
    <cellStyle name="Enter Currency (2) 12" xfId="2235" xr:uid="{00000000-0005-0000-0000-0000B80A0000}"/>
    <cellStyle name="Enter Currency (2) 13" xfId="2236" xr:uid="{00000000-0005-0000-0000-0000B90A0000}"/>
    <cellStyle name="Enter Currency (2) 14" xfId="2237" xr:uid="{00000000-0005-0000-0000-0000BA0A0000}"/>
    <cellStyle name="Enter Currency (2) 15" xfId="2238" xr:uid="{00000000-0005-0000-0000-0000BB0A0000}"/>
    <cellStyle name="Enter Currency (2) 16" xfId="2239" xr:uid="{00000000-0005-0000-0000-0000BC0A0000}"/>
    <cellStyle name="Enter Currency (2) 2" xfId="2240" xr:uid="{00000000-0005-0000-0000-0000BD0A0000}"/>
    <cellStyle name="Enter Currency (2) 3" xfId="2241" xr:uid="{00000000-0005-0000-0000-0000BE0A0000}"/>
    <cellStyle name="Enter Currency (2) 4" xfId="2242" xr:uid="{00000000-0005-0000-0000-0000BF0A0000}"/>
    <cellStyle name="Enter Currency (2) 5" xfId="2243" xr:uid="{00000000-0005-0000-0000-0000C00A0000}"/>
    <cellStyle name="Enter Currency (2) 6" xfId="2244" xr:uid="{00000000-0005-0000-0000-0000C10A0000}"/>
    <cellStyle name="Enter Currency (2) 7" xfId="2245" xr:uid="{00000000-0005-0000-0000-0000C20A0000}"/>
    <cellStyle name="Enter Currency (2) 8" xfId="2246" xr:uid="{00000000-0005-0000-0000-0000C30A0000}"/>
    <cellStyle name="Enter Currency (2) 9" xfId="2247" xr:uid="{00000000-0005-0000-0000-0000C40A0000}"/>
    <cellStyle name="Enter Units (0)" xfId="2248" xr:uid="{00000000-0005-0000-0000-0000C50A0000}"/>
    <cellStyle name="Enter Units (0) 10" xfId="2249" xr:uid="{00000000-0005-0000-0000-0000C60A0000}"/>
    <cellStyle name="Enter Units (0) 11" xfId="2250" xr:uid="{00000000-0005-0000-0000-0000C70A0000}"/>
    <cellStyle name="Enter Units (0) 12" xfId="2251" xr:uid="{00000000-0005-0000-0000-0000C80A0000}"/>
    <cellStyle name="Enter Units (0) 13" xfId="2252" xr:uid="{00000000-0005-0000-0000-0000C90A0000}"/>
    <cellStyle name="Enter Units (0) 14" xfId="2253" xr:uid="{00000000-0005-0000-0000-0000CA0A0000}"/>
    <cellStyle name="Enter Units (0) 15" xfId="2254" xr:uid="{00000000-0005-0000-0000-0000CB0A0000}"/>
    <cellStyle name="Enter Units (0) 16" xfId="2255" xr:uid="{00000000-0005-0000-0000-0000CC0A0000}"/>
    <cellStyle name="Enter Units (0) 2" xfId="2256" xr:uid="{00000000-0005-0000-0000-0000CD0A0000}"/>
    <cellStyle name="Enter Units (0) 3" xfId="2257" xr:uid="{00000000-0005-0000-0000-0000CE0A0000}"/>
    <cellStyle name="Enter Units (0) 4" xfId="2258" xr:uid="{00000000-0005-0000-0000-0000CF0A0000}"/>
    <cellStyle name="Enter Units (0) 5" xfId="2259" xr:uid="{00000000-0005-0000-0000-0000D00A0000}"/>
    <cellStyle name="Enter Units (0) 6" xfId="2260" xr:uid="{00000000-0005-0000-0000-0000D10A0000}"/>
    <cellStyle name="Enter Units (0) 7" xfId="2261" xr:uid="{00000000-0005-0000-0000-0000D20A0000}"/>
    <cellStyle name="Enter Units (0) 8" xfId="2262" xr:uid="{00000000-0005-0000-0000-0000D30A0000}"/>
    <cellStyle name="Enter Units (0) 9" xfId="2263" xr:uid="{00000000-0005-0000-0000-0000D40A0000}"/>
    <cellStyle name="Enter Units (1)" xfId="2264" xr:uid="{00000000-0005-0000-0000-0000D50A0000}"/>
    <cellStyle name="Enter Units (1) 10" xfId="2265" xr:uid="{00000000-0005-0000-0000-0000D60A0000}"/>
    <cellStyle name="Enter Units (1) 11" xfId="2266" xr:uid="{00000000-0005-0000-0000-0000D70A0000}"/>
    <cellStyle name="Enter Units (1) 12" xfId="2267" xr:uid="{00000000-0005-0000-0000-0000D80A0000}"/>
    <cellStyle name="Enter Units (1) 13" xfId="2268" xr:uid="{00000000-0005-0000-0000-0000D90A0000}"/>
    <cellStyle name="Enter Units (1) 14" xfId="2269" xr:uid="{00000000-0005-0000-0000-0000DA0A0000}"/>
    <cellStyle name="Enter Units (1) 15" xfId="2270" xr:uid="{00000000-0005-0000-0000-0000DB0A0000}"/>
    <cellStyle name="Enter Units (1) 16" xfId="2271" xr:uid="{00000000-0005-0000-0000-0000DC0A0000}"/>
    <cellStyle name="Enter Units (1) 2" xfId="2272" xr:uid="{00000000-0005-0000-0000-0000DD0A0000}"/>
    <cellStyle name="Enter Units (1) 3" xfId="2273" xr:uid="{00000000-0005-0000-0000-0000DE0A0000}"/>
    <cellStyle name="Enter Units (1) 4" xfId="2274" xr:uid="{00000000-0005-0000-0000-0000DF0A0000}"/>
    <cellStyle name="Enter Units (1) 5" xfId="2275" xr:uid="{00000000-0005-0000-0000-0000E00A0000}"/>
    <cellStyle name="Enter Units (1) 6" xfId="2276" xr:uid="{00000000-0005-0000-0000-0000E10A0000}"/>
    <cellStyle name="Enter Units (1) 7" xfId="2277" xr:uid="{00000000-0005-0000-0000-0000E20A0000}"/>
    <cellStyle name="Enter Units (1) 8" xfId="2278" xr:uid="{00000000-0005-0000-0000-0000E30A0000}"/>
    <cellStyle name="Enter Units (1) 9" xfId="2279" xr:uid="{00000000-0005-0000-0000-0000E40A0000}"/>
    <cellStyle name="Enter Units (2)" xfId="2280" xr:uid="{00000000-0005-0000-0000-0000E50A0000}"/>
    <cellStyle name="Enter Units (2) 10" xfId="2281" xr:uid="{00000000-0005-0000-0000-0000E60A0000}"/>
    <cellStyle name="Enter Units (2) 11" xfId="2282" xr:uid="{00000000-0005-0000-0000-0000E70A0000}"/>
    <cellStyle name="Enter Units (2) 12" xfId="2283" xr:uid="{00000000-0005-0000-0000-0000E80A0000}"/>
    <cellStyle name="Enter Units (2) 13" xfId="2284" xr:uid="{00000000-0005-0000-0000-0000E90A0000}"/>
    <cellStyle name="Enter Units (2) 14" xfId="2285" xr:uid="{00000000-0005-0000-0000-0000EA0A0000}"/>
    <cellStyle name="Enter Units (2) 15" xfId="2286" xr:uid="{00000000-0005-0000-0000-0000EB0A0000}"/>
    <cellStyle name="Enter Units (2) 16" xfId="2287" xr:uid="{00000000-0005-0000-0000-0000EC0A0000}"/>
    <cellStyle name="Enter Units (2) 2" xfId="2288" xr:uid="{00000000-0005-0000-0000-0000ED0A0000}"/>
    <cellStyle name="Enter Units (2) 3" xfId="2289" xr:uid="{00000000-0005-0000-0000-0000EE0A0000}"/>
    <cellStyle name="Enter Units (2) 4" xfId="2290" xr:uid="{00000000-0005-0000-0000-0000EF0A0000}"/>
    <cellStyle name="Enter Units (2) 5" xfId="2291" xr:uid="{00000000-0005-0000-0000-0000F00A0000}"/>
    <cellStyle name="Enter Units (2) 6" xfId="2292" xr:uid="{00000000-0005-0000-0000-0000F10A0000}"/>
    <cellStyle name="Enter Units (2) 7" xfId="2293" xr:uid="{00000000-0005-0000-0000-0000F20A0000}"/>
    <cellStyle name="Enter Units (2) 8" xfId="2294" xr:uid="{00000000-0005-0000-0000-0000F30A0000}"/>
    <cellStyle name="Enter Units (2) 9" xfId="2295" xr:uid="{00000000-0005-0000-0000-0000F40A0000}"/>
    <cellStyle name="Entered" xfId="2296" xr:uid="{00000000-0005-0000-0000-0000F50A0000}"/>
    <cellStyle name="Euro" xfId="2297" xr:uid="{00000000-0005-0000-0000-0000F60A0000}"/>
    <cellStyle name="Euro 10" xfId="2298" xr:uid="{00000000-0005-0000-0000-0000F70A0000}"/>
    <cellStyle name="Euro 11" xfId="2299" xr:uid="{00000000-0005-0000-0000-0000F80A0000}"/>
    <cellStyle name="Euro 12" xfId="2300" xr:uid="{00000000-0005-0000-0000-0000F90A0000}"/>
    <cellStyle name="Euro 13" xfId="2301" xr:uid="{00000000-0005-0000-0000-0000FA0A0000}"/>
    <cellStyle name="Euro 14" xfId="2302" xr:uid="{00000000-0005-0000-0000-0000FB0A0000}"/>
    <cellStyle name="Euro 15" xfId="2303" xr:uid="{00000000-0005-0000-0000-0000FC0A0000}"/>
    <cellStyle name="Euro 16" xfId="2304" xr:uid="{00000000-0005-0000-0000-0000FD0A0000}"/>
    <cellStyle name="Euro 2" xfId="2305" xr:uid="{00000000-0005-0000-0000-0000FE0A0000}"/>
    <cellStyle name="Euro 3" xfId="2306" xr:uid="{00000000-0005-0000-0000-0000FF0A0000}"/>
    <cellStyle name="Euro 4" xfId="2307" xr:uid="{00000000-0005-0000-0000-0000000B0000}"/>
    <cellStyle name="Euro 5" xfId="2308" xr:uid="{00000000-0005-0000-0000-0000010B0000}"/>
    <cellStyle name="Euro 6" xfId="2309" xr:uid="{00000000-0005-0000-0000-0000020B0000}"/>
    <cellStyle name="Euro 7" xfId="2310" xr:uid="{00000000-0005-0000-0000-0000030B0000}"/>
    <cellStyle name="Euro 8" xfId="2311" xr:uid="{00000000-0005-0000-0000-0000040B0000}"/>
    <cellStyle name="Euro 9" xfId="2312" xr:uid="{00000000-0005-0000-0000-0000050B0000}"/>
    <cellStyle name="Excel Built-in Normal" xfId="2313" xr:uid="{00000000-0005-0000-0000-0000060B0000}"/>
    <cellStyle name="Explanatory Text 2" xfId="2314" xr:uid="{00000000-0005-0000-0000-0000070B0000}"/>
    <cellStyle name="f" xfId="2315" xr:uid="{00000000-0005-0000-0000-0000080B0000}"/>
    <cellStyle name="f_Danhmuc_Quyhoach2009" xfId="2316" xr:uid="{00000000-0005-0000-0000-0000090B0000}"/>
    <cellStyle name="f_Danhmuc_Quyhoach2009 2" xfId="2317" xr:uid="{00000000-0005-0000-0000-00000A0B0000}"/>
    <cellStyle name="f_Danhmuc_Quyhoach2009 2 2" xfId="2318" xr:uid="{00000000-0005-0000-0000-00000B0B0000}"/>
    <cellStyle name="Fixed" xfId="2319" xr:uid="{00000000-0005-0000-0000-00000C0B0000}"/>
    <cellStyle name="Fixed 10" xfId="2320" xr:uid="{00000000-0005-0000-0000-00000D0B0000}"/>
    <cellStyle name="Fixed 11" xfId="2321" xr:uid="{00000000-0005-0000-0000-00000E0B0000}"/>
    <cellStyle name="Fixed 12" xfId="2322" xr:uid="{00000000-0005-0000-0000-00000F0B0000}"/>
    <cellStyle name="Fixed 13" xfId="2323" xr:uid="{00000000-0005-0000-0000-0000100B0000}"/>
    <cellStyle name="Fixed 14" xfId="2324" xr:uid="{00000000-0005-0000-0000-0000110B0000}"/>
    <cellStyle name="Fixed 15" xfId="2325" xr:uid="{00000000-0005-0000-0000-0000120B0000}"/>
    <cellStyle name="Fixed 16" xfId="2326" xr:uid="{00000000-0005-0000-0000-0000130B0000}"/>
    <cellStyle name="Fixed 2" xfId="2327" xr:uid="{00000000-0005-0000-0000-0000140B0000}"/>
    <cellStyle name="Fixed 2 2" xfId="2328" xr:uid="{00000000-0005-0000-0000-0000150B0000}"/>
    <cellStyle name="Fixed 3" xfId="2329" xr:uid="{00000000-0005-0000-0000-0000160B0000}"/>
    <cellStyle name="Fixed 4" xfId="2330" xr:uid="{00000000-0005-0000-0000-0000170B0000}"/>
    <cellStyle name="Fixed 5" xfId="2331" xr:uid="{00000000-0005-0000-0000-0000180B0000}"/>
    <cellStyle name="Fixed 6" xfId="2332" xr:uid="{00000000-0005-0000-0000-0000190B0000}"/>
    <cellStyle name="Fixed 7" xfId="2333" xr:uid="{00000000-0005-0000-0000-00001A0B0000}"/>
    <cellStyle name="Fixed 8" xfId="2334" xr:uid="{00000000-0005-0000-0000-00001B0B0000}"/>
    <cellStyle name="Fixed 9" xfId="2335" xr:uid="{00000000-0005-0000-0000-00001C0B0000}"/>
    <cellStyle name="Font Britannic16" xfId="2336" xr:uid="{00000000-0005-0000-0000-00001D0B0000}"/>
    <cellStyle name="Font Britannic18" xfId="2337" xr:uid="{00000000-0005-0000-0000-00001E0B0000}"/>
    <cellStyle name="Font CenturyCond 18" xfId="2338" xr:uid="{00000000-0005-0000-0000-00001F0B0000}"/>
    <cellStyle name="Font Cond20" xfId="2339" xr:uid="{00000000-0005-0000-0000-0000200B0000}"/>
    <cellStyle name="Font LucidaSans16" xfId="2340" xr:uid="{00000000-0005-0000-0000-0000210B0000}"/>
    <cellStyle name="Font NewCenturyCond18" xfId="2341" xr:uid="{00000000-0005-0000-0000-0000220B0000}"/>
    <cellStyle name="Font Ottawa14" xfId="2342" xr:uid="{00000000-0005-0000-0000-0000230B0000}"/>
    <cellStyle name="Font Ottawa16" xfId="2343" xr:uid="{00000000-0005-0000-0000-0000240B0000}"/>
    <cellStyle name="gia" xfId="2363" xr:uid="{00000000-0005-0000-0000-0000250B0000}"/>
    <cellStyle name="Good 2" xfId="2344" xr:uid="{00000000-0005-0000-0000-0000260B0000}"/>
    <cellStyle name="Good 2 2" xfId="4796" xr:uid="{00000000-0005-0000-0000-0000270B0000}"/>
    <cellStyle name="Grey" xfId="2345" xr:uid="{00000000-0005-0000-0000-0000280B0000}"/>
    <cellStyle name="Grey 10" xfId="2346" xr:uid="{00000000-0005-0000-0000-0000290B0000}"/>
    <cellStyle name="Grey 11" xfId="2347" xr:uid="{00000000-0005-0000-0000-00002A0B0000}"/>
    <cellStyle name="Grey 12" xfId="2348" xr:uid="{00000000-0005-0000-0000-00002B0B0000}"/>
    <cellStyle name="Grey 13" xfId="2349" xr:uid="{00000000-0005-0000-0000-00002C0B0000}"/>
    <cellStyle name="Grey 14" xfId="2350" xr:uid="{00000000-0005-0000-0000-00002D0B0000}"/>
    <cellStyle name="Grey 15" xfId="2351" xr:uid="{00000000-0005-0000-0000-00002E0B0000}"/>
    <cellStyle name="Grey 16" xfId="2352" xr:uid="{00000000-0005-0000-0000-00002F0B0000}"/>
    <cellStyle name="Grey 2" xfId="2353" xr:uid="{00000000-0005-0000-0000-0000300B0000}"/>
    <cellStyle name="Grey 3" xfId="2354" xr:uid="{00000000-0005-0000-0000-0000310B0000}"/>
    <cellStyle name="Grey 4" xfId="2355" xr:uid="{00000000-0005-0000-0000-0000320B0000}"/>
    <cellStyle name="Grey 5" xfId="2356" xr:uid="{00000000-0005-0000-0000-0000330B0000}"/>
    <cellStyle name="Grey 6" xfId="2357" xr:uid="{00000000-0005-0000-0000-0000340B0000}"/>
    <cellStyle name="Grey 7" xfId="2358" xr:uid="{00000000-0005-0000-0000-0000350B0000}"/>
    <cellStyle name="Grey 8" xfId="2359" xr:uid="{00000000-0005-0000-0000-0000360B0000}"/>
    <cellStyle name="Grey 9" xfId="2360" xr:uid="{00000000-0005-0000-0000-0000370B0000}"/>
    <cellStyle name="Grey_KH TPCP 2016-2020 (tong hop)" xfId="2361" xr:uid="{00000000-0005-0000-0000-0000380B0000}"/>
    <cellStyle name="Group" xfId="2362" xr:uid="{00000000-0005-0000-0000-0000390B0000}"/>
    <cellStyle name="H" xfId="2364" xr:uid="{00000000-0005-0000-0000-00003A0B0000}"/>
    <cellStyle name="ha" xfId="2365" xr:uid="{00000000-0005-0000-0000-00003B0B0000}"/>
    <cellStyle name="HAI" xfId="2366" xr:uid="{00000000-0005-0000-0000-00003C0B0000}"/>
    <cellStyle name="Head 1" xfId="2367" xr:uid="{00000000-0005-0000-0000-00003D0B0000}"/>
    <cellStyle name="HEADER" xfId="2368" xr:uid="{00000000-0005-0000-0000-00003E0B0000}"/>
    <cellStyle name="HEADER 2" xfId="2369" xr:uid="{00000000-0005-0000-0000-00003F0B0000}"/>
    <cellStyle name="Header1" xfId="2370" xr:uid="{00000000-0005-0000-0000-0000400B0000}"/>
    <cellStyle name="Header1 2" xfId="2371" xr:uid="{00000000-0005-0000-0000-0000410B0000}"/>
    <cellStyle name="Header2" xfId="2372" xr:uid="{00000000-0005-0000-0000-0000420B0000}"/>
    <cellStyle name="Header2 2" xfId="2373" xr:uid="{00000000-0005-0000-0000-0000430B0000}"/>
    <cellStyle name="Heading" xfId="2374" xr:uid="{00000000-0005-0000-0000-0000440B0000}"/>
    <cellStyle name="Heading 1 2" xfId="2375" xr:uid="{00000000-0005-0000-0000-0000450B0000}"/>
    <cellStyle name="Heading 1 2 2" xfId="4797" xr:uid="{00000000-0005-0000-0000-0000460B0000}"/>
    <cellStyle name="Heading 2 2" xfId="2376" xr:uid="{00000000-0005-0000-0000-0000470B0000}"/>
    <cellStyle name="Heading 2 2 2" xfId="4798" xr:uid="{00000000-0005-0000-0000-0000480B0000}"/>
    <cellStyle name="Heading 3 2" xfId="2377" xr:uid="{00000000-0005-0000-0000-0000490B0000}"/>
    <cellStyle name="Heading 4 2" xfId="2378" xr:uid="{00000000-0005-0000-0000-00004A0B0000}"/>
    <cellStyle name="Heading No Underline" xfId="2379" xr:uid="{00000000-0005-0000-0000-00004B0B0000}"/>
    <cellStyle name="Heading With Underline" xfId="2380" xr:uid="{00000000-0005-0000-0000-00004C0B0000}"/>
    <cellStyle name="HEADING1" xfId="2381" xr:uid="{00000000-0005-0000-0000-00004D0B0000}"/>
    <cellStyle name="HEADING2" xfId="2382" xr:uid="{00000000-0005-0000-0000-00004E0B0000}"/>
    <cellStyle name="HEADINGS" xfId="2383" xr:uid="{00000000-0005-0000-0000-00004F0B0000}"/>
    <cellStyle name="HEADINGSTOP" xfId="2384" xr:uid="{00000000-0005-0000-0000-0000500B0000}"/>
    <cellStyle name="headoption" xfId="2385" xr:uid="{00000000-0005-0000-0000-0000510B0000}"/>
    <cellStyle name="headoption 2" xfId="2386" xr:uid="{00000000-0005-0000-0000-0000520B0000}"/>
    <cellStyle name="headoption 3" xfId="2387" xr:uid="{00000000-0005-0000-0000-0000530B0000}"/>
    <cellStyle name="Hoa-Scholl" xfId="2388" xr:uid="{00000000-0005-0000-0000-0000540B0000}"/>
    <cellStyle name="Hoa-Scholl 2" xfId="2389" xr:uid="{00000000-0005-0000-0000-0000550B0000}"/>
    <cellStyle name="HUY" xfId="2390" xr:uid="{00000000-0005-0000-0000-0000560B0000}"/>
    <cellStyle name="i phÝ kh¸c_B¶ng 2" xfId="2391" xr:uid="{00000000-0005-0000-0000-0000570B0000}"/>
    <cellStyle name="I.3" xfId="2392" xr:uid="{00000000-0005-0000-0000-0000580B0000}"/>
    <cellStyle name="i·0" xfId="2393" xr:uid="{00000000-0005-0000-0000-0000590B0000}"/>
    <cellStyle name="i·0 2" xfId="2394" xr:uid="{00000000-0005-0000-0000-00005A0B0000}"/>
    <cellStyle name="i·0 3" xfId="4799" xr:uid="{00000000-0005-0000-0000-00005B0B0000}"/>
    <cellStyle name="ï-¾È»ê_BiÓu TB" xfId="2395" xr:uid="{00000000-0005-0000-0000-00005C0B0000}"/>
    <cellStyle name="Input [yellow]" xfId="2396" xr:uid="{00000000-0005-0000-0000-00005D0B0000}"/>
    <cellStyle name="Input [yellow] 10" xfId="2397" xr:uid="{00000000-0005-0000-0000-00005E0B0000}"/>
    <cellStyle name="Input [yellow] 11" xfId="2398" xr:uid="{00000000-0005-0000-0000-00005F0B0000}"/>
    <cellStyle name="Input [yellow] 12" xfId="2399" xr:uid="{00000000-0005-0000-0000-0000600B0000}"/>
    <cellStyle name="Input [yellow] 13" xfId="2400" xr:uid="{00000000-0005-0000-0000-0000610B0000}"/>
    <cellStyle name="Input [yellow] 14" xfId="2401" xr:uid="{00000000-0005-0000-0000-0000620B0000}"/>
    <cellStyle name="Input [yellow] 15" xfId="2402" xr:uid="{00000000-0005-0000-0000-0000630B0000}"/>
    <cellStyle name="Input [yellow] 16" xfId="2403" xr:uid="{00000000-0005-0000-0000-0000640B0000}"/>
    <cellStyle name="Input [yellow] 2" xfId="2404" xr:uid="{00000000-0005-0000-0000-0000650B0000}"/>
    <cellStyle name="Input [yellow] 2 2" xfId="2405" xr:uid="{00000000-0005-0000-0000-0000660B0000}"/>
    <cellStyle name="Input [yellow] 3" xfId="2406" xr:uid="{00000000-0005-0000-0000-0000670B0000}"/>
    <cellStyle name="Input [yellow] 4" xfId="2407" xr:uid="{00000000-0005-0000-0000-0000680B0000}"/>
    <cellStyle name="Input [yellow] 5" xfId="2408" xr:uid="{00000000-0005-0000-0000-0000690B0000}"/>
    <cellStyle name="Input [yellow] 6" xfId="2409" xr:uid="{00000000-0005-0000-0000-00006A0B0000}"/>
    <cellStyle name="Input [yellow] 7" xfId="2410" xr:uid="{00000000-0005-0000-0000-00006B0B0000}"/>
    <cellStyle name="Input [yellow] 8" xfId="2411" xr:uid="{00000000-0005-0000-0000-00006C0B0000}"/>
    <cellStyle name="Input [yellow] 9" xfId="2412" xr:uid="{00000000-0005-0000-0000-00006D0B0000}"/>
    <cellStyle name="Input [yellow]_KH TPCP 2016-2020 (tong hop)" xfId="2413" xr:uid="{00000000-0005-0000-0000-00006E0B0000}"/>
    <cellStyle name="Input 2" xfId="2414" xr:uid="{00000000-0005-0000-0000-00006F0B0000}"/>
    <cellStyle name="Input 2 2" xfId="4800" xr:uid="{00000000-0005-0000-0000-0000700B0000}"/>
    <cellStyle name="Input 3" xfId="2415" xr:uid="{00000000-0005-0000-0000-0000710B0000}"/>
    <cellStyle name="Input 4" xfId="2416" xr:uid="{00000000-0005-0000-0000-0000720B0000}"/>
    <cellStyle name="Input 5" xfId="2417" xr:uid="{00000000-0005-0000-0000-0000730B0000}"/>
    <cellStyle name="Input 6" xfId="2418" xr:uid="{00000000-0005-0000-0000-0000740B0000}"/>
    <cellStyle name="Input 7" xfId="2419" xr:uid="{00000000-0005-0000-0000-0000750B0000}"/>
    <cellStyle name="k_TONG HOP KINH PHI" xfId="2420" xr:uid="{00000000-0005-0000-0000-0000760B0000}"/>
    <cellStyle name="k_TONG HOP KINH PHI_!1 1 bao cao giao KH ve HTCMT vung TNB   12-12-2011" xfId="2421" xr:uid="{00000000-0005-0000-0000-0000770B0000}"/>
    <cellStyle name="k_TONG HOP KINH PHI_Bieu4HTMT" xfId="2422" xr:uid="{00000000-0005-0000-0000-0000780B0000}"/>
    <cellStyle name="k_TONG HOP KINH PHI_Bieu4HTMT_!1 1 bao cao giao KH ve HTCMT vung TNB   12-12-2011" xfId="2423" xr:uid="{00000000-0005-0000-0000-0000790B0000}"/>
    <cellStyle name="k_TONG HOP KINH PHI_Bieu4HTMT_KH TPCP vung TNB (03-1-2012)" xfId="2424" xr:uid="{00000000-0005-0000-0000-00007A0B0000}"/>
    <cellStyle name="k_TONG HOP KINH PHI_KH TPCP vung TNB (03-1-2012)" xfId="2425" xr:uid="{00000000-0005-0000-0000-00007B0B0000}"/>
    <cellStyle name="k_ÿÿÿÿÿ" xfId="2426" xr:uid="{00000000-0005-0000-0000-00007C0B0000}"/>
    <cellStyle name="k_ÿÿÿÿÿ_!1 1 bao cao giao KH ve HTCMT vung TNB   12-12-2011" xfId="2427" xr:uid="{00000000-0005-0000-0000-00007D0B0000}"/>
    <cellStyle name="k_ÿÿÿÿÿ_1" xfId="2428" xr:uid="{00000000-0005-0000-0000-00007E0B0000}"/>
    <cellStyle name="k_ÿÿÿÿÿ_2" xfId="2429" xr:uid="{00000000-0005-0000-0000-00007F0B0000}"/>
    <cellStyle name="k_ÿÿÿÿÿ_2_!1 1 bao cao giao KH ve HTCMT vung TNB   12-12-2011" xfId="2430" xr:uid="{00000000-0005-0000-0000-0000800B0000}"/>
    <cellStyle name="k_ÿÿÿÿÿ_2_Bieu4HTMT" xfId="2431" xr:uid="{00000000-0005-0000-0000-0000810B0000}"/>
    <cellStyle name="k_ÿÿÿÿÿ_2_Bieu4HTMT_!1 1 bao cao giao KH ve HTCMT vung TNB   12-12-2011" xfId="2432" xr:uid="{00000000-0005-0000-0000-0000820B0000}"/>
    <cellStyle name="k_ÿÿÿÿÿ_2_Bieu4HTMT_KH TPCP vung TNB (03-1-2012)" xfId="2433" xr:uid="{00000000-0005-0000-0000-0000830B0000}"/>
    <cellStyle name="k_ÿÿÿÿÿ_2_KH TPCP vung TNB (03-1-2012)" xfId="2434" xr:uid="{00000000-0005-0000-0000-0000840B0000}"/>
    <cellStyle name="k_ÿÿÿÿÿ_Bieu4HTMT" xfId="2435" xr:uid="{00000000-0005-0000-0000-0000850B0000}"/>
    <cellStyle name="k_ÿÿÿÿÿ_Bieu4HTMT_!1 1 bao cao giao KH ve HTCMT vung TNB   12-12-2011" xfId="2436" xr:uid="{00000000-0005-0000-0000-0000860B0000}"/>
    <cellStyle name="k_ÿÿÿÿÿ_Bieu4HTMT_KH TPCP vung TNB (03-1-2012)" xfId="2437" xr:uid="{00000000-0005-0000-0000-0000870B0000}"/>
    <cellStyle name="k_ÿÿÿÿÿ_KH TPCP vung TNB (03-1-2012)" xfId="2438" xr:uid="{00000000-0005-0000-0000-0000880B0000}"/>
    <cellStyle name="kh¸c_Bang Chi tieu" xfId="2439" xr:uid="{00000000-0005-0000-0000-0000890B0000}"/>
    <cellStyle name="khanh" xfId="2440" xr:uid="{00000000-0005-0000-0000-00008A0B0000}"/>
    <cellStyle name="khung" xfId="2441" xr:uid="{00000000-0005-0000-0000-00008B0B0000}"/>
    <cellStyle name="Kiểu 1" xfId="4801" xr:uid="{00000000-0005-0000-0000-00008C0B0000}"/>
    <cellStyle name="Ledger 17 x 11 in" xfId="2442" xr:uid="{00000000-0005-0000-0000-00008D0B0000}"/>
    <cellStyle name="left" xfId="2443" xr:uid="{00000000-0005-0000-0000-00008E0B0000}"/>
    <cellStyle name="Line" xfId="2444" xr:uid="{00000000-0005-0000-0000-00008F0B0000}"/>
    <cellStyle name="Link Currency (0)" xfId="2445" xr:uid="{00000000-0005-0000-0000-0000900B0000}"/>
    <cellStyle name="Link Currency (0) 10" xfId="2446" xr:uid="{00000000-0005-0000-0000-0000910B0000}"/>
    <cellStyle name="Link Currency (0) 11" xfId="2447" xr:uid="{00000000-0005-0000-0000-0000920B0000}"/>
    <cellStyle name="Link Currency (0) 12" xfId="2448" xr:uid="{00000000-0005-0000-0000-0000930B0000}"/>
    <cellStyle name="Link Currency (0) 13" xfId="2449" xr:uid="{00000000-0005-0000-0000-0000940B0000}"/>
    <cellStyle name="Link Currency (0) 14" xfId="2450" xr:uid="{00000000-0005-0000-0000-0000950B0000}"/>
    <cellStyle name="Link Currency (0) 15" xfId="2451" xr:uid="{00000000-0005-0000-0000-0000960B0000}"/>
    <cellStyle name="Link Currency (0) 16" xfId="2452" xr:uid="{00000000-0005-0000-0000-0000970B0000}"/>
    <cellStyle name="Link Currency (0) 2" xfId="2453" xr:uid="{00000000-0005-0000-0000-0000980B0000}"/>
    <cellStyle name="Link Currency (0) 3" xfId="2454" xr:uid="{00000000-0005-0000-0000-0000990B0000}"/>
    <cellStyle name="Link Currency (0) 4" xfId="2455" xr:uid="{00000000-0005-0000-0000-00009A0B0000}"/>
    <cellStyle name="Link Currency (0) 5" xfId="2456" xr:uid="{00000000-0005-0000-0000-00009B0B0000}"/>
    <cellStyle name="Link Currency (0) 6" xfId="2457" xr:uid="{00000000-0005-0000-0000-00009C0B0000}"/>
    <cellStyle name="Link Currency (0) 7" xfId="2458" xr:uid="{00000000-0005-0000-0000-00009D0B0000}"/>
    <cellStyle name="Link Currency (0) 8" xfId="2459" xr:uid="{00000000-0005-0000-0000-00009E0B0000}"/>
    <cellStyle name="Link Currency (0) 9" xfId="2460" xr:uid="{00000000-0005-0000-0000-00009F0B0000}"/>
    <cellStyle name="Link Currency (2)" xfId="2461" xr:uid="{00000000-0005-0000-0000-0000A00B0000}"/>
    <cellStyle name="Link Currency (2) 10" xfId="2462" xr:uid="{00000000-0005-0000-0000-0000A10B0000}"/>
    <cellStyle name="Link Currency (2) 11" xfId="2463" xr:uid="{00000000-0005-0000-0000-0000A20B0000}"/>
    <cellStyle name="Link Currency (2) 12" xfId="2464" xr:uid="{00000000-0005-0000-0000-0000A30B0000}"/>
    <cellStyle name="Link Currency (2) 13" xfId="2465" xr:uid="{00000000-0005-0000-0000-0000A40B0000}"/>
    <cellStyle name="Link Currency (2) 14" xfId="2466" xr:uid="{00000000-0005-0000-0000-0000A50B0000}"/>
    <cellStyle name="Link Currency (2) 15" xfId="2467" xr:uid="{00000000-0005-0000-0000-0000A60B0000}"/>
    <cellStyle name="Link Currency (2) 16" xfId="2468" xr:uid="{00000000-0005-0000-0000-0000A70B0000}"/>
    <cellStyle name="Link Currency (2) 2" xfId="2469" xr:uid="{00000000-0005-0000-0000-0000A80B0000}"/>
    <cellStyle name="Link Currency (2) 3" xfId="2470" xr:uid="{00000000-0005-0000-0000-0000A90B0000}"/>
    <cellStyle name="Link Currency (2) 4" xfId="2471" xr:uid="{00000000-0005-0000-0000-0000AA0B0000}"/>
    <cellStyle name="Link Currency (2) 5" xfId="2472" xr:uid="{00000000-0005-0000-0000-0000AB0B0000}"/>
    <cellStyle name="Link Currency (2) 6" xfId="2473" xr:uid="{00000000-0005-0000-0000-0000AC0B0000}"/>
    <cellStyle name="Link Currency (2) 7" xfId="2474" xr:uid="{00000000-0005-0000-0000-0000AD0B0000}"/>
    <cellStyle name="Link Currency (2) 8" xfId="2475" xr:uid="{00000000-0005-0000-0000-0000AE0B0000}"/>
    <cellStyle name="Link Currency (2) 9" xfId="2476" xr:uid="{00000000-0005-0000-0000-0000AF0B0000}"/>
    <cellStyle name="Link Units (0)" xfId="2477" xr:uid="{00000000-0005-0000-0000-0000B00B0000}"/>
    <cellStyle name="Link Units (0) 10" xfId="2478" xr:uid="{00000000-0005-0000-0000-0000B10B0000}"/>
    <cellStyle name="Link Units (0) 11" xfId="2479" xr:uid="{00000000-0005-0000-0000-0000B20B0000}"/>
    <cellStyle name="Link Units (0) 12" xfId="2480" xr:uid="{00000000-0005-0000-0000-0000B30B0000}"/>
    <cellStyle name="Link Units (0) 13" xfId="2481" xr:uid="{00000000-0005-0000-0000-0000B40B0000}"/>
    <cellStyle name="Link Units (0) 14" xfId="2482" xr:uid="{00000000-0005-0000-0000-0000B50B0000}"/>
    <cellStyle name="Link Units (0) 15" xfId="2483" xr:uid="{00000000-0005-0000-0000-0000B60B0000}"/>
    <cellStyle name="Link Units (0) 16" xfId="2484" xr:uid="{00000000-0005-0000-0000-0000B70B0000}"/>
    <cellStyle name="Link Units (0) 2" xfId="2485" xr:uid="{00000000-0005-0000-0000-0000B80B0000}"/>
    <cellStyle name="Link Units (0) 3" xfId="2486" xr:uid="{00000000-0005-0000-0000-0000B90B0000}"/>
    <cellStyle name="Link Units (0) 4" xfId="2487" xr:uid="{00000000-0005-0000-0000-0000BA0B0000}"/>
    <cellStyle name="Link Units (0) 5" xfId="2488" xr:uid="{00000000-0005-0000-0000-0000BB0B0000}"/>
    <cellStyle name="Link Units (0) 6" xfId="2489" xr:uid="{00000000-0005-0000-0000-0000BC0B0000}"/>
    <cellStyle name="Link Units (0) 7" xfId="2490" xr:uid="{00000000-0005-0000-0000-0000BD0B0000}"/>
    <cellStyle name="Link Units (0) 8" xfId="2491" xr:uid="{00000000-0005-0000-0000-0000BE0B0000}"/>
    <cellStyle name="Link Units (0) 9" xfId="2492" xr:uid="{00000000-0005-0000-0000-0000BF0B0000}"/>
    <cellStyle name="Link Units (1)" xfId="2493" xr:uid="{00000000-0005-0000-0000-0000C00B0000}"/>
    <cellStyle name="Link Units (1) 10" xfId="2494" xr:uid="{00000000-0005-0000-0000-0000C10B0000}"/>
    <cellStyle name="Link Units (1) 11" xfId="2495" xr:uid="{00000000-0005-0000-0000-0000C20B0000}"/>
    <cellStyle name="Link Units (1) 12" xfId="2496" xr:uid="{00000000-0005-0000-0000-0000C30B0000}"/>
    <cellStyle name="Link Units (1) 13" xfId="2497" xr:uid="{00000000-0005-0000-0000-0000C40B0000}"/>
    <cellStyle name="Link Units (1) 14" xfId="2498" xr:uid="{00000000-0005-0000-0000-0000C50B0000}"/>
    <cellStyle name="Link Units (1) 15" xfId="2499" xr:uid="{00000000-0005-0000-0000-0000C60B0000}"/>
    <cellStyle name="Link Units (1) 16" xfId="2500" xr:uid="{00000000-0005-0000-0000-0000C70B0000}"/>
    <cellStyle name="Link Units (1) 2" xfId="2501" xr:uid="{00000000-0005-0000-0000-0000C80B0000}"/>
    <cellStyle name="Link Units (1) 3" xfId="2502" xr:uid="{00000000-0005-0000-0000-0000C90B0000}"/>
    <cellStyle name="Link Units (1) 4" xfId="2503" xr:uid="{00000000-0005-0000-0000-0000CA0B0000}"/>
    <cellStyle name="Link Units (1) 5" xfId="2504" xr:uid="{00000000-0005-0000-0000-0000CB0B0000}"/>
    <cellStyle name="Link Units (1) 6" xfId="2505" xr:uid="{00000000-0005-0000-0000-0000CC0B0000}"/>
    <cellStyle name="Link Units (1) 7" xfId="2506" xr:uid="{00000000-0005-0000-0000-0000CD0B0000}"/>
    <cellStyle name="Link Units (1) 8" xfId="2507" xr:uid="{00000000-0005-0000-0000-0000CE0B0000}"/>
    <cellStyle name="Link Units (1) 9" xfId="2508" xr:uid="{00000000-0005-0000-0000-0000CF0B0000}"/>
    <cellStyle name="Link Units (2)" xfId="2509" xr:uid="{00000000-0005-0000-0000-0000D00B0000}"/>
    <cellStyle name="Link Units (2) 10" xfId="2510" xr:uid="{00000000-0005-0000-0000-0000D10B0000}"/>
    <cellStyle name="Link Units (2) 11" xfId="2511" xr:uid="{00000000-0005-0000-0000-0000D20B0000}"/>
    <cellStyle name="Link Units (2) 12" xfId="2512" xr:uid="{00000000-0005-0000-0000-0000D30B0000}"/>
    <cellStyle name="Link Units (2) 13" xfId="2513" xr:uid="{00000000-0005-0000-0000-0000D40B0000}"/>
    <cellStyle name="Link Units (2) 14" xfId="2514" xr:uid="{00000000-0005-0000-0000-0000D50B0000}"/>
    <cellStyle name="Link Units (2) 15" xfId="2515" xr:uid="{00000000-0005-0000-0000-0000D60B0000}"/>
    <cellStyle name="Link Units (2) 16" xfId="2516" xr:uid="{00000000-0005-0000-0000-0000D70B0000}"/>
    <cellStyle name="Link Units (2) 2" xfId="2517" xr:uid="{00000000-0005-0000-0000-0000D80B0000}"/>
    <cellStyle name="Link Units (2) 3" xfId="2518" xr:uid="{00000000-0005-0000-0000-0000D90B0000}"/>
    <cellStyle name="Link Units (2) 4" xfId="2519" xr:uid="{00000000-0005-0000-0000-0000DA0B0000}"/>
    <cellStyle name="Link Units (2) 5" xfId="2520" xr:uid="{00000000-0005-0000-0000-0000DB0B0000}"/>
    <cellStyle name="Link Units (2) 6" xfId="2521" xr:uid="{00000000-0005-0000-0000-0000DC0B0000}"/>
    <cellStyle name="Link Units (2) 7" xfId="2522" xr:uid="{00000000-0005-0000-0000-0000DD0B0000}"/>
    <cellStyle name="Link Units (2) 8" xfId="2523" xr:uid="{00000000-0005-0000-0000-0000DE0B0000}"/>
    <cellStyle name="Link Units (2) 9" xfId="2524" xr:uid="{00000000-0005-0000-0000-0000DF0B0000}"/>
    <cellStyle name="Linked Cell 2" xfId="2525" xr:uid="{00000000-0005-0000-0000-0000E00B0000}"/>
    <cellStyle name="Loai CBDT" xfId="2526" xr:uid="{00000000-0005-0000-0000-0000E10B0000}"/>
    <cellStyle name="Loai CT" xfId="2527" xr:uid="{00000000-0005-0000-0000-0000E20B0000}"/>
    <cellStyle name="Loai GD" xfId="2528" xr:uid="{00000000-0005-0000-0000-0000E30B0000}"/>
    <cellStyle name="MAU" xfId="2529" xr:uid="{00000000-0005-0000-0000-0000E40B0000}"/>
    <cellStyle name="MAU 2" xfId="2530" xr:uid="{00000000-0005-0000-0000-0000E50B0000}"/>
    <cellStyle name="Millares [0]_Well Timing" xfId="2531" xr:uid="{00000000-0005-0000-0000-0000E60B0000}"/>
    <cellStyle name="Millares_Well Timing" xfId="2532" xr:uid="{00000000-0005-0000-0000-0000E70B0000}"/>
    <cellStyle name="Milliers [0]_      " xfId="2533" xr:uid="{00000000-0005-0000-0000-0000E80B0000}"/>
    <cellStyle name="Milliers_      " xfId="2534" xr:uid="{00000000-0005-0000-0000-0000E90B0000}"/>
    <cellStyle name="Model" xfId="2535" xr:uid="{00000000-0005-0000-0000-0000EA0B0000}"/>
    <cellStyle name="Model 2" xfId="2536" xr:uid="{00000000-0005-0000-0000-0000EB0B0000}"/>
    <cellStyle name="moi" xfId="2537" xr:uid="{00000000-0005-0000-0000-0000EC0B0000}"/>
    <cellStyle name="moi 2" xfId="2538" xr:uid="{00000000-0005-0000-0000-0000ED0B0000}"/>
    <cellStyle name="moi 3" xfId="2539" xr:uid="{00000000-0005-0000-0000-0000EE0B0000}"/>
    <cellStyle name="Moneda [0]_Well Timing" xfId="2540" xr:uid="{00000000-0005-0000-0000-0000EF0B0000}"/>
    <cellStyle name="Moneda_Well Timing" xfId="2541" xr:uid="{00000000-0005-0000-0000-0000F00B0000}"/>
    <cellStyle name="Monétaire [0]_      " xfId="2542" xr:uid="{00000000-0005-0000-0000-0000F10B0000}"/>
    <cellStyle name="Monétaire_      " xfId="2543" xr:uid="{00000000-0005-0000-0000-0000F20B0000}"/>
    <cellStyle name="n" xfId="2544" xr:uid="{00000000-0005-0000-0000-0000F30B0000}"/>
    <cellStyle name="Neutral 2" xfId="2545" xr:uid="{00000000-0005-0000-0000-0000F40B0000}"/>
    <cellStyle name="Neutral 2 2" xfId="4802" xr:uid="{00000000-0005-0000-0000-0000F50B0000}"/>
    <cellStyle name="New" xfId="2546" xr:uid="{00000000-0005-0000-0000-0000F60B0000}"/>
    <cellStyle name="New Times Roman" xfId="2547" xr:uid="{00000000-0005-0000-0000-0000F70B0000}"/>
    <cellStyle name="nga" xfId="2851" xr:uid="{00000000-0005-0000-0000-0000F80B0000}"/>
    <cellStyle name="no dec" xfId="2548" xr:uid="{00000000-0005-0000-0000-0000F90B0000}"/>
    <cellStyle name="no dec 2" xfId="2549" xr:uid="{00000000-0005-0000-0000-0000FA0B0000}"/>
    <cellStyle name="no dec 2 2" xfId="2550" xr:uid="{00000000-0005-0000-0000-0000FB0B0000}"/>
    <cellStyle name="ÑONVÒ" xfId="2551" xr:uid="{00000000-0005-0000-0000-0000FC0B0000}"/>
    <cellStyle name="ÑONVÒ 2" xfId="2552" xr:uid="{00000000-0005-0000-0000-0000FD0B0000}"/>
    <cellStyle name="Normal" xfId="0" builtinId="0"/>
    <cellStyle name="Normal - Style1" xfId="2553" xr:uid="{00000000-0005-0000-0000-0000FF0B0000}"/>
    <cellStyle name="Normal - Style1 2" xfId="2554" xr:uid="{00000000-0005-0000-0000-0000000C0000}"/>
    <cellStyle name="Normal - Style1 2 2" xfId="4804" xr:uid="{00000000-0005-0000-0000-0000010C0000}"/>
    <cellStyle name="Normal - Style1 2 3" xfId="4805" xr:uid="{00000000-0005-0000-0000-0000020C0000}"/>
    <cellStyle name="Normal - Style1 2 4" xfId="4803" xr:uid="{00000000-0005-0000-0000-0000030C0000}"/>
    <cellStyle name="Normal - Style1 3" xfId="2555" xr:uid="{00000000-0005-0000-0000-0000040C0000}"/>
    <cellStyle name="Normal - Style1 4" xfId="4806" xr:uid="{00000000-0005-0000-0000-0000050C0000}"/>
    <cellStyle name="Normal - Style1_KH TPCP 2016-2020 (tong hop)" xfId="2556" xr:uid="{00000000-0005-0000-0000-0000060C0000}"/>
    <cellStyle name="Normal - 유형1" xfId="2557" xr:uid="{00000000-0005-0000-0000-0000070C0000}"/>
    <cellStyle name="Normal 10" xfId="20" xr:uid="{00000000-0005-0000-0000-0000080C0000}"/>
    <cellStyle name="Normal 10 2" xfId="21" xr:uid="{00000000-0005-0000-0000-0000090C0000}"/>
    <cellStyle name="Normal 10 2 2" xfId="4272" xr:uid="{00000000-0005-0000-0000-00000A0C0000}"/>
    <cellStyle name="Normal 10 3" xfId="2558" xr:uid="{00000000-0005-0000-0000-00000B0C0000}"/>
    <cellStyle name="Normal 10 3 2" xfId="2559" xr:uid="{00000000-0005-0000-0000-00000C0C0000}"/>
    <cellStyle name="Normal 10 3 3" xfId="4807" xr:uid="{00000000-0005-0000-0000-00000D0C0000}"/>
    <cellStyle name="Normal 10 4" xfId="2560" xr:uid="{00000000-0005-0000-0000-00000E0C0000}"/>
    <cellStyle name="Normal 10 5" xfId="2561" xr:uid="{00000000-0005-0000-0000-00000F0C0000}"/>
    <cellStyle name="Normal 10 6" xfId="2562" xr:uid="{00000000-0005-0000-0000-0000100C0000}"/>
    <cellStyle name="Normal 10 7" xfId="4259" xr:uid="{00000000-0005-0000-0000-0000110C0000}"/>
    <cellStyle name="Normal 10_05-12  KH trung han 2016-2020 - Liem Thinh edited" xfId="2563" xr:uid="{00000000-0005-0000-0000-0000120C0000}"/>
    <cellStyle name="Normal 11" xfId="2564" xr:uid="{00000000-0005-0000-0000-0000130C0000}"/>
    <cellStyle name="Normal 11 2" xfId="2565" xr:uid="{00000000-0005-0000-0000-0000140C0000}"/>
    <cellStyle name="Normal 11 2 2" xfId="2566" xr:uid="{00000000-0005-0000-0000-0000150C0000}"/>
    <cellStyle name="Normal 11 3" xfId="2567" xr:uid="{00000000-0005-0000-0000-0000160C0000}"/>
    <cellStyle name="Normal 11 3 2" xfId="2568" xr:uid="{00000000-0005-0000-0000-0000170C0000}"/>
    <cellStyle name="Normal 11 3 3" xfId="2569" xr:uid="{00000000-0005-0000-0000-0000180C0000}"/>
    <cellStyle name="Normal 11 3 4" xfId="22" xr:uid="{00000000-0005-0000-0000-0000190C0000}"/>
    <cellStyle name="Normal 11 4" xfId="4808" xr:uid="{00000000-0005-0000-0000-00001A0C0000}"/>
    <cellStyle name="Normal 12" xfId="2570" xr:uid="{00000000-0005-0000-0000-00001B0C0000}"/>
    <cellStyle name="Normal 12 2" xfId="2571" xr:uid="{00000000-0005-0000-0000-00001C0C0000}"/>
    <cellStyle name="Normal 12 2 2" xfId="4809" xr:uid="{00000000-0005-0000-0000-00001D0C0000}"/>
    <cellStyle name="Normal 12 3" xfId="2572" xr:uid="{00000000-0005-0000-0000-00001E0C0000}"/>
    <cellStyle name="Normal 12 3 2" xfId="4810" xr:uid="{00000000-0005-0000-0000-00001F0C0000}"/>
    <cellStyle name="Normal 13" xfId="2573" xr:uid="{00000000-0005-0000-0000-0000200C0000}"/>
    <cellStyle name="Normal 13 2" xfId="2574" xr:uid="{00000000-0005-0000-0000-0000210C0000}"/>
    <cellStyle name="Normal 14" xfId="2575" xr:uid="{00000000-0005-0000-0000-0000220C0000}"/>
    <cellStyle name="Normal 14 2" xfId="2576" xr:uid="{00000000-0005-0000-0000-0000230C0000}"/>
    <cellStyle name="Normal 14 3" xfId="2577" xr:uid="{00000000-0005-0000-0000-0000240C0000}"/>
    <cellStyle name="Normal 14 3 2" xfId="4811" xr:uid="{00000000-0005-0000-0000-0000250C0000}"/>
    <cellStyle name="Normal 14 4" xfId="4812" xr:uid="{00000000-0005-0000-0000-0000260C0000}"/>
    <cellStyle name="Normal 14 5" xfId="4813" xr:uid="{00000000-0005-0000-0000-0000270C0000}"/>
    <cellStyle name="Normal 15" xfId="2578" xr:uid="{00000000-0005-0000-0000-0000280C0000}"/>
    <cellStyle name="Normal 15 2" xfId="2579" xr:uid="{00000000-0005-0000-0000-0000290C0000}"/>
    <cellStyle name="Normal 15 3" xfId="2580" xr:uid="{00000000-0005-0000-0000-00002A0C0000}"/>
    <cellStyle name="Normal 16" xfId="2581" xr:uid="{00000000-0005-0000-0000-00002B0C0000}"/>
    <cellStyle name="Normal 16 2" xfId="2582" xr:uid="{00000000-0005-0000-0000-00002C0C0000}"/>
    <cellStyle name="Normal 16 2 2" xfId="2583" xr:uid="{00000000-0005-0000-0000-00002D0C0000}"/>
    <cellStyle name="Normal 16 2 2 2" xfId="2584" xr:uid="{00000000-0005-0000-0000-00002E0C0000}"/>
    <cellStyle name="Normal 16 2 3" xfId="2585" xr:uid="{00000000-0005-0000-0000-00002F0C0000}"/>
    <cellStyle name="Normal 16 2 3 2" xfId="2586" xr:uid="{00000000-0005-0000-0000-0000300C0000}"/>
    <cellStyle name="Normal 16 2 4" xfId="2587" xr:uid="{00000000-0005-0000-0000-0000310C0000}"/>
    <cellStyle name="Normal 16 2 5" xfId="4814" xr:uid="{00000000-0005-0000-0000-0000320C0000}"/>
    <cellStyle name="Normal 16 3" xfId="2588" xr:uid="{00000000-0005-0000-0000-0000330C0000}"/>
    <cellStyle name="Normal 16 4" xfId="2589" xr:uid="{00000000-0005-0000-0000-0000340C0000}"/>
    <cellStyle name="Normal 16 4 2" xfId="2590" xr:uid="{00000000-0005-0000-0000-0000350C0000}"/>
    <cellStyle name="Normal 16 5" xfId="2591" xr:uid="{00000000-0005-0000-0000-0000360C0000}"/>
    <cellStyle name="Normal 16 5 2" xfId="2592" xr:uid="{00000000-0005-0000-0000-0000370C0000}"/>
    <cellStyle name="Normal 17" xfId="2593" xr:uid="{00000000-0005-0000-0000-0000380C0000}"/>
    <cellStyle name="Normal 17 2" xfId="2594" xr:uid="{00000000-0005-0000-0000-0000390C0000}"/>
    <cellStyle name="Normal 17 2 2" xfId="4815" xr:uid="{00000000-0005-0000-0000-00003A0C0000}"/>
    <cellStyle name="Normal 17 3 2" xfId="2595" xr:uid="{00000000-0005-0000-0000-00003B0C0000}"/>
    <cellStyle name="Normal 17 3 2 2" xfId="2596" xr:uid="{00000000-0005-0000-0000-00003C0C0000}"/>
    <cellStyle name="Normal 17 3 2 2 2" xfId="2597" xr:uid="{00000000-0005-0000-0000-00003D0C0000}"/>
    <cellStyle name="Normal 17 3 2 3" xfId="2598" xr:uid="{00000000-0005-0000-0000-00003E0C0000}"/>
    <cellStyle name="Normal 17 3 2 3 2" xfId="2599" xr:uid="{00000000-0005-0000-0000-00003F0C0000}"/>
    <cellStyle name="Normal 17 3 2 4" xfId="2600" xr:uid="{00000000-0005-0000-0000-0000400C0000}"/>
    <cellStyle name="Normal 18" xfId="2601" xr:uid="{00000000-0005-0000-0000-0000410C0000}"/>
    <cellStyle name="Normal 18 2" xfId="2602" xr:uid="{00000000-0005-0000-0000-0000420C0000}"/>
    <cellStyle name="Normal 18 2 2" xfId="2603" xr:uid="{00000000-0005-0000-0000-0000430C0000}"/>
    <cellStyle name="Normal 18 3" xfId="2604" xr:uid="{00000000-0005-0000-0000-0000440C0000}"/>
    <cellStyle name="Normal 18 3 2" xfId="4816" xr:uid="{00000000-0005-0000-0000-0000450C0000}"/>
    <cellStyle name="Normal 18 4" xfId="4817" xr:uid="{00000000-0005-0000-0000-0000460C0000}"/>
    <cellStyle name="Normal 18_05-12  KH trung han 2016-2020 - Liem Thinh edited" xfId="2605" xr:uid="{00000000-0005-0000-0000-0000470C0000}"/>
    <cellStyle name="Normal 19" xfId="2606" xr:uid="{00000000-0005-0000-0000-0000480C0000}"/>
    <cellStyle name="Normal 19 2" xfId="2607" xr:uid="{00000000-0005-0000-0000-0000490C0000}"/>
    <cellStyle name="Normal 19 2 2" xfId="4819" xr:uid="{00000000-0005-0000-0000-00004A0C0000}"/>
    <cellStyle name="Normal 19 3" xfId="2608" xr:uid="{00000000-0005-0000-0000-00004B0C0000}"/>
    <cellStyle name="Normal 19 3 2" xfId="4820" xr:uid="{00000000-0005-0000-0000-00004C0C0000}"/>
    <cellStyle name="Normal 19 4" xfId="4818" xr:uid="{00000000-0005-0000-0000-00004D0C0000}"/>
    <cellStyle name="Normal 2" xfId="10" xr:uid="{00000000-0005-0000-0000-00004E0C0000}"/>
    <cellStyle name="Normal 2 10" xfId="2609" xr:uid="{00000000-0005-0000-0000-00004F0C0000}"/>
    <cellStyle name="Normal 2 10 2" xfId="2610" xr:uid="{00000000-0005-0000-0000-0000500C0000}"/>
    <cellStyle name="Normal 2 11" xfId="2611" xr:uid="{00000000-0005-0000-0000-0000510C0000}"/>
    <cellStyle name="Normal 2 11 2" xfId="2612" xr:uid="{00000000-0005-0000-0000-0000520C0000}"/>
    <cellStyle name="Normal 2 12" xfId="2613" xr:uid="{00000000-0005-0000-0000-0000530C0000}"/>
    <cellStyle name="Normal 2 12 2" xfId="2614" xr:uid="{00000000-0005-0000-0000-0000540C0000}"/>
    <cellStyle name="Normal 2 13" xfId="2615" xr:uid="{00000000-0005-0000-0000-0000550C0000}"/>
    <cellStyle name="Normal 2 13 2" xfId="2616" xr:uid="{00000000-0005-0000-0000-0000560C0000}"/>
    <cellStyle name="Normal 2 14" xfId="2617" xr:uid="{00000000-0005-0000-0000-0000570C0000}"/>
    <cellStyle name="Normal 2 14 2" xfId="2618" xr:uid="{00000000-0005-0000-0000-0000580C0000}"/>
    <cellStyle name="Normal 2 14 2 2" xfId="4822" xr:uid="{00000000-0005-0000-0000-0000590C0000}"/>
    <cellStyle name="Normal 2 14 3" xfId="4823" xr:uid="{00000000-0005-0000-0000-00005A0C0000}"/>
    <cellStyle name="Normal 2 14_Phuongangiao 1-giaoxulykythuat" xfId="2619" xr:uid="{00000000-0005-0000-0000-00005B0C0000}"/>
    <cellStyle name="Normal 2 15" xfId="2620" xr:uid="{00000000-0005-0000-0000-00005C0C0000}"/>
    <cellStyle name="Normal 2 16" xfId="2621" xr:uid="{00000000-0005-0000-0000-00005D0C0000}"/>
    <cellStyle name="Normal 2 17" xfId="2622" xr:uid="{00000000-0005-0000-0000-00005E0C0000}"/>
    <cellStyle name="Normal 2 18" xfId="2623" xr:uid="{00000000-0005-0000-0000-00005F0C0000}"/>
    <cellStyle name="Normal 2 19" xfId="2624" xr:uid="{00000000-0005-0000-0000-0000600C0000}"/>
    <cellStyle name="Normal 2 2" xfId="11" xr:uid="{00000000-0005-0000-0000-0000610C0000}"/>
    <cellStyle name="Normal 2 2 10" xfId="2625" xr:uid="{00000000-0005-0000-0000-0000620C0000}"/>
    <cellStyle name="Normal 2 2 10 2" xfId="2626" xr:uid="{00000000-0005-0000-0000-0000630C0000}"/>
    <cellStyle name="Normal 2 2 11" xfId="2627" xr:uid="{00000000-0005-0000-0000-0000640C0000}"/>
    <cellStyle name="Normal 2 2 12" xfId="2628" xr:uid="{00000000-0005-0000-0000-0000650C0000}"/>
    <cellStyle name="Normal 2 2 13" xfId="2629" xr:uid="{00000000-0005-0000-0000-0000660C0000}"/>
    <cellStyle name="Normal 2 2 14" xfId="2630" xr:uid="{00000000-0005-0000-0000-0000670C0000}"/>
    <cellStyle name="Normal 2 2 15" xfId="2631" xr:uid="{00000000-0005-0000-0000-0000680C0000}"/>
    <cellStyle name="Normal 2 2 2" xfId="2632" xr:uid="{00000000-0005-0000-0000-0000690C0000}"/>
    <cellStyle name="Normal 2 2 2 2" xfId="2633" xr:uid="{00000000-0005-0000-0000-00006A0C0000}"/>
    <cellStyle name="Normal 2 2 2 3" xfId="2634" xr:uid="{00000000-0005-0000-0000-00006B0C0000}"/>
    <cellStyle name="Normal 2 2 2 4" xfId="4824" xr:uid="{00000000-0005-0000-0000-00006C0C0000}"/>
    <cellStyle name="Normal 2 2 3" xfId="2635" xr:uid="{00000000-0005-0000-0000-00006D0C0000}"/>
    <cellStyle name="Normal 2 2 4" xfId="2636" xr:uid="{00000000-0005-0000-0000-00006E0C0000}"/>
    <cellStyle name="Normal 2 2 4 2" xfId="2637" xr:uid="{00000000-0005-0000-0000-00006F0C0000}"/>
    <cellStyle name="Normal 2 2 4 2 2" xfId="4825" xr:uid="{00000000-0005-0000-0000-0000700C0000}"/>
    <cellStyle name="Normal 2 2 4 3" xfId="2638" xr:uid="{00000000-0005-0000-0000-0000710C0000}"/>
    <cellStyle name="Normal 2 2 4 3 2" xfId="4826" xr:uid="{00000000-0005-0000-0000-0000720C0000}"/>
    <cellStyle name="Normal 2 2 5" xfId="2639" xr:uid="{00000000-0005-0000-0000-0000730C0000}"/>
    <cellStyle name="Normal 2 2 5 2" xfId="4827" xr:uid="{00000000-0005-0000-0000-0000740C0000}"/>
    <cellStyle name="Normal 2 2 6" xfId="2640" xr:uid="{00000000-0005-0000-0000-0000750C0000}"/>
    <cellStyle name="Normal 2 2 7" xfId="2641" xr:uid="{00000000-0005-0000-0000-0000760C0000}"/>
    <cellStyle name="Normal 2 2 8" xfId="2642" xr:uid="{00000000-0005-0000-0000-0000770C0000}"/>
    <cellStyle name="Normal 2 2 9" xfId="2643" xr:uid="{00000000-0005-0000-0000-0000780C0000}"/>
    <cellStyle name="Normal 2 2_Bieu chi tiet tang quy mo, dch ky thuat 4" xfId="2644" xr:uid="{00000000-0005-0000-0000-0000790C0000}"/>
    <cellStyle name="Normal 2 20" xfId="2645" xr:uid="{00000000-0005-0000-0000-00007A0C0000}"/>
    <cellStyle name="Normal 2 21" xfId="2646" xr:uid="{00000000-0005-0000-0000-00007B0C0000}"/>
    <cellStyle name="Normal 2 22" xfId="2647" xr:uid="{00000000-0005-0000-0000-00007C0C0000}"/>
    <cellStyle name="Normal 2 22 2" xfId="4828" xr:uid="{00000000-0005-0000-0000-00007D0C0000}"/>
    <cellStyle name="Normal 2 23" xfId="2648" xr:uid="{00000000-0005-0000-0000-00007E0C0000}"/>
    <cellStyle name="Normal 2 24" xfId="2649" xr:uid="{00000000-0005-0000-0000-00007F0C0000}"/>
    <cellStyle name="Normal 2 25" xfId="2650" xr:uid="{00000000-0005-0000-0000-0000800C0000}"/>
    <cellStyle name="Normal 2 26" xfId="2651" xr:uid="{00000000-0005-0000-0000-0000810C0000}"/>
    <cellStyle name="Normal 2 26 2" xfId="2652" xr:uid="{00000000-0005-0000-0000-0000820C0000}"/>
    <cellStyle name="Normal 2 27" xfId="2653" xr:uid="{00000000-0005-0000-0000-0000830C0000}"/>
    <cellStyle name="Normal 2 27 2" xfId="4829" xr:uid="{00000000-0005-0000-0000-0000840C0000}"/>
    <cellStyle name="Normal 2 28" xfId="4830" xr:uid="{00000000-0005-0000-0000-0000850C0000}"/>
    <cellStyle name="Normal 2 28 2" xfId="4831" xr:uid="{00000000-0005-0000-0000-0000860C0000}"/>
    <cellStyle name="Normal 2 29" xfId="4832" xr:uid="{00000000-0005-0000-0000-0000870C0000}"/>
    <cellStyle name="Normal 2 3" xfId="4" xr:uid="{00000000-0005-0000-0000-0000880C0000}"/>
    <cellStyle name="Normal 2 3 2" xfId="2654" xr:uid="{00000000-0005-0000-0000-0000890C0000}"/>
    <cellStyle name="Normal 2 3 2 2" xfId="2655" xr:uid="{00000000-0005-0000-0000-00008A0C0000}"/>
    <cellStyle name="Normal 2 3 3" xfId="2656" xr:uid="{00000000-0005-0000-0000-00008B0C0000}"/>
    <cellStyle name="Normal 2 3 3 2" xfId="4833" xr:uid="{00000000-0005-0000-0000-00008C0C0000}"/>
    <cellStyle name="Normal 2 3 4" xfId="4834" xr:uid="{00000000-0005-0000-0000-00008D0C0000}"/>
    <cellStyle name="Normal 2 3_74847_80640" xfId="4835" xr:uid="{00000000-0005-0000-0000-00008E0C0000}"/>
    <cellStyle name="Normal 2 30" xfId="4836" xr:uid="{00000000-0005-0000-0000-00008F0C0000}"/>
    <cellStyle name="Normal 2 31" xfId="4837" xr:uid="{00000000-0005-0000-0000-0000900C0000}"/>
    <cellStyle name="Normal 2 32" xfId="2657" xr:uid="{00000000-0005-0000-0000-0000910C0000}"/>
    <cellStyle name="Normal 2 33" xfId="4838" xr:uid="{00000000-0005-0000-0000-0000920C0000}"/>
    <cellStyle name="Normal 2 34" xfId="4839" xr:uid="{00000000-0005-0000-0000-0000930C0000}"/>
    <cellStyle name="Normal 2 35" xfId="4840" xr:uid="{00000000-0005-0000-0000-0000940C0000}"/>
    <cellStyle name="Normal 2 36" xfId="4841" xr:uid="{00000000-0005-0000-0000-0000950C0000}"/>
    <cellStyle name="Normal 2 37" xfId="4842" xr:uid="{00000000-0005-0000-0000-0000960C0000}"/>
    <cellStyle name="Normal 2 38" xfId="4843" xr:uid="{00000000-0005-0000-0000-0000970C0000}"/>
    <cellStyle name="Normal 2 39" xfId="4844" xr:uid="{00000000-0005-0000-0000-0000980C0000}"/>
    <cellStyle name="Normal 2 4" xfId="2658" xr:uid="{00000000-0005-0000-0000-0000990C0000}"/>
    <cellStyle name="Normal 2 4 2" xfId="2659" xr:uid="{00000000-0005-0000-0000-00009A0C0000}"/>
    <cellStyle name="Normal 2 4 2 2" xfId="2660" xr:uid="{00000000-0005-0000-0000-00009B0C0000}"/>
    <cellStyle name="Normal 2 4 2 2 2" xfId="4846" xr:uid="{00000000-0005-0000-0000-00009C0C0000}"/>
    <cellStyle name="Normal 2 4 3" xfId="2661" xr:uid="{00000000-0005-0000-0000-00009D0C0000}"/>
    <cellStyle name="Normal 2 4 3 2" xfId="2662" xr:uid="{00000000-0005-0000-0000-00009E0C0000}"/>
    <cellStyle name="Normal 2 4 4" xfId="4847" xr:uid="{00000000-0005-0000-0000-00009F0C0000}"/>
    <cellStyle name="Normal 2 4 4 2" xfId="4848" xr:uid="{00000000-0005-0000-0000-0000A00C0000}"/>
    <cellStyle name="Normal 2 4 5" xfId="4845" xr:uid="{00000000-0005-0000-0000-0000A10C0000}"/>
    <cellStyle name="Normal 2 40" xfId="4849" xr:uid="{00000000-0005-0000-0000-0000A20C0000}"/>
    <cellStyle name="Normal 2 41" xfId="4850" xr:uid="{00000000-0005-0000-0000-0000A30C0000}"/>
    <cellStyle name="Normal 2 42" xfId="4851" xr:uid="{00000000-0005-0000-0000-0000A40C0000}"/>
    <cellStyle name="Normal 2 43" xfId="4852" xr:uid="{00000000-0005-0000-0000-0000A50C0000}"/>
    <cellStyle name="Normal 2 44" xfId="4853" xr:uid="{00000000-0005-0000-0000-0000A60C0000}"/>
    <cellStyle name="Normal 2 45" xfId="4854" xr:uid="{00000000-0005-0000-0000-0000A70C0000}"/>
    <cellStyle name="Normal 2 46" xfId="4855" xr:uid="{00000000-0005-0000-0000-0000A80C0000}"/>
    <cellStyle name="Normal 2 47" xfId="4856" xr:uid="{00000000-0005-0000-0000-0000A90C0000}"/>
    <cellStyle name="Normal 2 48" xfId="4857" xr:uid="{00000000-0005-0000-0000-0000AA0C0000}"/>
    <cellStyle name="Normal 2 49" xfId="4858" xr:uid="{00000000-0005-0000-0000-0000AB0C0000}"/>
    <cellStyle name="Normal 2 5" xfId="2663" xr:uid="{00000000-0005-0000-0000-0000AC0C0000}"/>
    <cellStyle name="Normal 2 5 2" xfId="2664" xr:uid="{00000000-0005-0000-0000-0000AD0C0000}"/>
    <cellStyle name="Normal 2 50" xfId="4859" xr:uid="{00000000-0005-0000-0000-0000AE0C0000}"/>
    <cellStyle name="Normal 2 51" xfId="4860" xr:uid="{00000000-0005-0000-0000-0000AF0C0000}"/>
    <cellStyle name="Normal 2 52" xfId="4861" xr:uid="{00000000-0005-0000-0000-0000B00C0000}"/>
    <cellStyle name="Normal 2 53" xfId="4862" xr:uid="{00000000-0005-0000-0000-0000B10C0000}"/>
    <cellStyle name="Normal 2 54" xfId="4863" xr:uid="{00000000-0005-0000-0000-0000B20C0000}"/>
    <cellStyle name="Normal 2 55" xfId="4821" xr:uid="{00000000-0005-0000-0000-0000B30C0000}"/>
    <cellStyle name="Normal 2 6" xfId="2665" xr:uid="{00000000-0005-0000-0000-0000B40C0000}"/>
    <cellStyle name="Normal 2 6 2" xfId="2666" xr:uid="{00000000-0005-0000-0000-0000B50C0000}"/>
    <cellStyle name="Normal 2 7" xfId="2667" xr:uid="{00000000-0005-0000-0000-0000B60C0000}"/>
    <cellStyle name="Normal 2 7 2" xfId="2668" xr:uid="{00000000-0005-0000-0000-0000B70C0000}"/>
    <cellStyle name="Normal 2 8" xfId="2669" xr:uid="{00000000-0005-0000-0000-0000B80C0000}"/>
    <cellStyle name="Normal 2 8 2" xfId="2670" xr:uid="{00000000-0005-0000-0000-0000B90C0000}"/>
    <cellStyle name="Normal 2 9" xfId="2671" xr:uid="{00000000-0005-0000-0000-0000BA0C0000}"/>
    <cellStyle name="Normal 2 9 2" xfId="2672" xr:uid="{00000000-0005-0000-0000-0000BB0C0000}"/>
    <cellStyle name="Normal 2_05-12  KH trung han 2016-2020 - Liem Thinh edited" xfId="2673" xr:uid="{00000000-0005-0000-0000-0000BC0C0000}"/>
    <cellStyle name="Normal 20" xfId="2674" xr:uid="{00000000-0005-0000-0000-0000BD0C0000}"/>
    <cellStyle name="Normal 20 2" xfId="2675" xr:uid="{00000000-0005-0000-0000-0000BE0C0000}"/>
    <cellStyle name="Normal 20 2 2" xfId="4864" xr:uid="{00000000-0005-0000-0000-0000BF0C0000}"/>
    <cellStyle name="Normal 20 3" xfId="4865" xr:uid="{00000000-0005-0000-0000-0000C00C0000}"/>
    <cellStyle name="Normal 21" xfId="2676" xr:uid="{00000000-0005-0000-0000-0000C10C0000}"/>
    <cellStyle name="Normal 21 2" xfId="2677" xr:uid="{00000000-0005-0000-0000-0000C20C0000}"/>
    <cellStyle name="Normal 21 2 2" xfId="4866" xr:uid="{00000000-0005-0000-0000-0000C30C0000}"/>
    <cellStyle name="Normal 21 3" xfId="4867" xr:uid="{00000000-0005-0000-0000-0000C40C0000}"/>
    <cellStyle name="Normal 22" xfId="2678" xr:uid="{00000000-0005-0000-0000-0000C50C0000}"/>
    <cellStyle name="Normal 22 2" xfId="2679" xr:uid="{00000000-0005-0000-0000-0000C60C0000}"/>
    <cellStyle name="Normal 22 2 2" xfId="4274" xr:uid="{00000000-0005-0000-0000-0000C70C0000}"/>
    <cellStyle name="Normal 23" xfId="2680" xr:uid="{00000000-0005-0000-0000-0000C80C0000}"/>
    <cellStyle name="Normal 23 2" xfId="2681" xr:uid="{00000000-0005-0000-0000-0000C90C0000}"/>
    <cellStyle name="Normal 23 2 2" xfId="4869" xr:uid="{00000000-0005-0000-0000-0000CA0C0000}"/>
    <cellStyle name="Normal 23 3" xfId="2682" xr:uid="{00000000-0005-0000-0000-0000CB0C0000}"/>
    <cellStyle name="Normal 23 4" xfId="4868" xr:uid="{00000000-0005-0000-0000-0000CC0C0000}"/>
    <cellStyle name="Normal 24" xfId="2683" xr:uid="{00000000-0005-0000-0000-0000CD0C0000}"/>
    <cellStyle name="Normal 24 2" xfId="2684" xr:uid="{00000000-0005-0000-0000-0000CE0C0000}"/>
    <cellStyle name="Normal 24 2 2" xfId="2685" xr:uid="{00000000-0005-0000-0000-0000CF0C0000}"/>
    <cellStyle name="Normal 24 2 3" xfId="4871" xr:uid="{00000000-0005-0000-0000-0000D00C0000}"/>
    <cellStyle name="Normal 24 3" xfId="4872" xr:uid="{00000000-0005-0000-0000-0000D10C0000}"/>
    <cellStyle name="Normal 24 4" xfId="4870" xr:uid="{00000000-0005-0000-0000-0000D20C0000}"/>
    <cellStyle name="Normal 25" xfId="2686" xr:uid="{00000000-0005-0000-0000-0000D30C0000}"/>
    <cellStyle name="Normal 25 2" xfId="2687" xr:uid="{00000000-0005-0000-0000-0000D40C0000}"/>
    <cellStyle name="Normal 25 2 2" xfId="4874" xr:uid="{00000000-0005-0000-0000-0000D50C0000}"/>
    <cellStyle name="Normal 25 3" xfId="2688" xr:uid="{00000000-0005-0000-0000-0000D60C0000}"/>
    <cellStyle name="Normal 25 3 2" xfId="4875" xr:uid="{00000000-0005-0000-0000-0000D70C0000}"/>
    <cellStyle name="Normal 25 4" xfId="4873" xr:uid="{00000000-0005-0000-0000-0000D80C0000}"/>
    <cellStyle name="Normal 26" xfId="2689" xr:uid="{00000000-0005-0000-0000-0000D90C0000}"/>
    <cellStyle name="Normal 26 2" xfId="2690" xr:uid="{00000000-0005-0000-0000-0000DA0C0000}"/>
    <cellStyle name="Normal 26 2 2" xfId="4877" xr:uid="{00000000-0005-0000-0000-0000DB0C0000}"/>
    <cellStyle name="Normal 26 3" xfId="4878" xr:uid="{00000000-0005-0000-0000-0000DC0C0000}"/>
    <cellStyle name="Normal 26 4" xfId="4876" xr:uid="{00000000-0005-0000-0000-0000DD0C0000}"/>
    <cellStyle name="Normal 27" xfId="2691" xr:uid="{00000000-0005-0000-0000-0000DE0C0000}"/>
    <cellStyle name="Normal 27 2" xfId="2692" xr:uid="{00000000-0005-0000-0000-0000DF0C0000}"/>
    <cellStyle name="Normal 27 2 2" xfId="4880" xr:uid="{00000000-0005-0000-0000-0000E00C0000}"/>
    <cellStyle name="Normal 27 3" xfId="4881" xr:uid="{00000000-0005-0000-0000-0000E10C0000}"/>
    <cellStyle name="Normal 27 4" xfId="4882" xr:uid="{00000000-0005-0000-0000-0000E20C0000}"/>
    <cellStyle name="Normal 27 5" xfId="4879" xr:uid="{00000000-0005-0000-0000-0000E30C0000}"/>
    <cellStyle name="Normal 28" xfId="2693" xr:uid="{00000000-0005-0000-0000-0000E40C0000}"/>
    <cellStyle name="Normal 28 2" xfId="2694" xr:uid="{00000000-0005-0000-0000-0000E50C0000}"/>
    <cellStyle name="Normal 28 2 2" xfId="4883" xr:uid="{00000000-0005-0000-0000-0000E60C0000}"/>
    <cellStyle name="Normal 28 2 3" xfId="4273" xr:uid="{00000000-0005-0000-0000-0000E70C0000}"/>
    <cellStyle name="Normal 29" xfId="2695" xr:uid="{00000000-0005-0000-0000-0000E80C0000}"/>
    <cellStyle name="Normal 29 2" xfId="2696" xr:uid="{00000000-0005-0000-0000-0000E90C0000}"/>
    <cellStyle name="Normal 29 3" xfId="4884" xr:uid="{00000000-0005-0000-0000-0000EA0C0000}"/>
    <cellStyle name="Normal 3" xfId="12" xr:uid="{00000000-0005-0000-0000-0000EB0C0000}"/>
    <cellStyle name="Normal 3 10" xfId="2697" xr:uid="{00000000-0005-0000-0000-0000EC0C0000}"/>
    <cellStyle name="Normal 3 11" xfId="2698" xr:uid="{00000000-0005-0000-0000-0000ED0C0000}"/>
    <cellStyle name="Normal 3 12" xfId="2699" xr:uid="{00000000-0005-0000-0000-0000EE0C0000}"/>
    <cellStyle name="Normal 3 13" xfId="2700" xr:uid="{00000000-0005-0000-0000-0000EF0C0000}"/>
    <cellStyle name="Normal 3 14" xfId="2701" xr:uid="{00000000-0005-0000-0000-0000F00C0000}"/>
    <cellStyle name="Normal 3 15" xfId="2702" xr:uid="{00000000-0005-0000-0000-0000F10C0000}"/>
    <cellStyle name="Normal 3 16" xfId="2703" xr:uid="{00000000-0005-0000-0000-0000F20C0000}"/>
    <cellStyle name="Normal 3 17" xfId="2704" xr:uid="{00000000-0005-0000-0000-0000F30C0000}"/>
    <cellStyle name="Normal 3 18" xfId="2705" xr:uid="{00000000-0005-0000-0000-0000F40C0000}"/>
    <cellStyle name="Normal 3 2" xfId="2706" xr:uid="{00000000-0005-0000-0000-0000F50C0000}"/>
    <cellStyle name="Normal 3 2 2" xfId="2707" xr:uid="{00000000-0005-0000-0000-0000F60C0000}"/>
    <cellStyle name="Normal 3 2 2 2" xfId="2708" xr:uid="{00000000-0005-0000-0000-0000F70C0000}"/>
    <cellStyle name="Normal 3 2 2_BieuMauKH" xfId="4886" xr:uid="{00000000-0005-0000-0000-0000F80C0000}"/>
    <cellStyle name="Normal 3 2 3" xfId="2709" xr:uid="{00000000-0005-0000-0000-0000F90C0000}"/>
    <cellStyle name="Normal 3 2 3 2" xfId="2710" xr:uid="{00000000-0005-0000-0000-0000FA0C0000}"/>
    <cellStyle name="Normal 3 2 4" xfId="2711" xr:uid="{00000000-0005-0000-0000-0000FB0C0000}"/>
    <cellStyle name="Normal 3 2 5" xfId="2712" xr:uid="{00000000-0005-0000-0000-0000FC0C0000}"/>
    <cellStyle name="Normal 3 2 5 2" xfId="2713" xr:uid="{00000000-0005-0000-0000-0000FD0C0000}"/>
    <cellStyle name="Normal 3 2 6" xfId="2714" xr:uid="{00000000-0005-0000-0000-0000FE0C0000}"/>
    <cellStyle name="Normal 3 2 6 2" xfId="2715" xr:uid="{00000000-0005-0000-0000-0000FF0C0000}"/>
    <cellStyle name="Normal 3 2 7" xfId="2716" xr:uid="{00000000-0005-0000-0000-0000000D0000}"/>
    <cellStyle name="Normal 3 2 8" xfId="4885" xr:uid="{00000000-0005-0000-0000-0000010D0000}"/>
    <cellStyle name="Normal 3 2_BieuMauKH" xfId="4887" xr:uid="{00000000-0005-0000-0000-0000020D0000}"/>
    <cellStyle name="Normal 3 3" xfId="2717" xr:uid="{00000000-0005-0000-0000-0000030D0000}"/>
    <cellStyle name="Normal 3 3 2" xfId="2718" xr:uid="{00000000-0005-0000-0000-0000040D0000}"/>
    <cellStyle name="Normal 3 4" xfId="2719" xr:uid="{00000000-0005-0000-0000-0000050D0000}"/>
    <cellStyle name="Normal 3 4 2" xfId="2720" xr:uid="{00000000-0005-0000-0000-0000060D0000}"/>
    <cellStyle name="Normal 3 5" xfId="2721" xr:uid="{00000000-0005-0000-0000-0000070D0000}"/>
    <cellStyle name="Normal 3 6" xfId="2722" xr:uid="{00000000-0005-0000-0000-0000080D0000}"/>
    <cellStyle name="Normal 3 7" xfId="2723" xr:uid="{00000000-0005-0000-0000-0000090D0000}"/>
    <cellStyle name="Normal 3 8" xfId="2724" xr:uid="{00000000-0005-0000-0000-00000A0D0000}"/>
    <cellStyle name="Normal 3 9" xfId="2725" xr:uid="{00000000-0005-0000-0000-00000B0D0000}"/>
    <cellStyle name="Normal 3_Bieu TH TPCP Vung TNB ngay 4-1-2012" xfId="2726" xr:uid="{00000000-0005-0000-0000-00000C0D0000}"/>
    <cellStyle name="Normal 30" xfId="2727" xr:uid="{00000000-0005-0000-0000-00000D0D0000}"/>
    <cellStyle name="Normal 30 2" xfId="2728" xr:uid="{00000000-0005-0000-0000-00000E0D0000}"/>
    <cellStyle name="Normal 30 2 2" xfId="2729" xr:uid="{00000000-0005-0000-0000-00000F0D0000}"/>
    <cellStyle name="Normal 30 2 3" xfId="4889" xr:uid="{00000000-0005-0000-0000-0000100D0000}"/>
    <cellStyle name="Normal 30 3" xfId="2730" xr:uid="{00000000-0005-0000-0000-0000110D0000}"/>
    <cellStyle name="Normal 30 3 2" xfId="2731" xr:uid="{00000000-0005-0000-0000-0000120D0000}"/>
    <cellStyle name="Normal 30 3 3" xfId="4890" xr:uid="{00000000-0005-0000-0000-0000130D0000}"/>
    <cellStyle name="Normal 30 4" xfId="2732" xr:uid="{00000000-0005-0000-0000-0000140D0000}"/>
    <cellStyle name="Normal 30 5" xfId="4888" xr:uid="{00000000-0005-0000-0000-0000150D0000}"/>
    <cellStyle name="Normal 31" xfId="2733" xr:uid="{00000000-0005-0000-0000-0000160D0000}"/>
    <cellStyle name="Normal 31 2" xfId="2734" xr:uid="{00000000-0005-0000-0000-0000170D0000}"/>
    <cellStyle name="Normal 31 2 2" xfId="2735" xr:uid="{00000000-0005-0000-0000-0000180D0000}"/>
    <cellStyle name="Normal 31 2 3" xfId="4892" xr:uid="{00000000-0005-0000-0000-0000190D0000}"/>
    <cellStyle name="Normal 31 3" xfId="2736" xr:uid="{00000000-0005-0000-0000-00001A0D0000}"/>
    <cellStyle name="Normal 31 3 2" xfId="2737" xr:uid="{00000000-0005-0000-0000-00001B0D0000}"/>
    <cellStyle name="Normal 31 3 3" xfId="4893" xr:uid="{00000000-0005-0000-0000-00001C0D0000}"/>
    <cellStyle name="Normal 31 4" xfId="2738" xr:uid="{00000000-0005-0000-0000-00001D0D0000}"/>
    <cellStyle name="Normal 31 5" xfId="4891" xr:uid="{00000000-0005-0000-0000-00001E0D0000}"/>
    <cellStyle name="Normal 32" xfId="2739" xr:uid="{00000000-0005-0000-0000-00001F0D0000}"/>
    <cellStyle name="Normal 32 2" xfId="2740" xr:uid="{00000000-0005-0000-0000-0000200D0000}"/>
    <cellStyle name="Normal 32 2 2" xfId="2741" xr:uid="{00000000-0005-0000-0000-0000210D0000}"/>
    <cellStyle name="Normal 32 3" xfId="4894" xr:uid="{00000000-0005-0000-0000-0000220D0000}"/>
    <cellStyle name="Normal 33" xfId="2742" xr:uid="{00000000-0005-0000-0000-0000230D0000}"/>
    <cellStyle name="Normal 33 2" xfId="2743" xr:uid="{00000000-0005-0000-0000-0000240D0000}"/>
    <cellStyle name="Normal 33 3" xfId="4895" xr:uid="{00000000-0005-0000-0000-0000250D0000}"/>
    <cellStyle name="Normal 34" xfId="2744" xr:uid="{00000000-0005-0000-0000-0000260D0000}"/>
    <cellStyle name="Normal 34 2" xfId="4897" xr:uid="{00000000-0005-0000-0000-0000270D0000}"/>
    <cellStyle name="Normal 34 3" xfId="4896" xr:uid="{00000000-0005-0000-0000-0000280D0000}"/>
    <cellStyle name="Normal 35" xfId="2745" xr:uid="{00000000-0005-0000-0000-0000290D0000}"/>
    <cellStyle name="Normal 35 2" xfId="4898" xr:uid="{00000000-0005-0000-0000-00002A0D0000}"/>
    <cellStyle name="Normal 36" xfId="2746" xr:uid="{00000000-0005-0000-0000-00002B0D0000}"/>
    <cellStyle name="Normal 36 2" xfId="4899" xr:uid="{00000000-0005-0000-0000-00002C0D0000}"/>
    <cellStyle name="Normal 37" xfId="2747" xr:uid="{00000000-0005-0000-0000-00002D0D0000}"/>
    <cellStyle name="Normal 37 2" xfId="2748" xr:uid="{00000000-0005-0000-0000-00002E0D0000}"/>
    <cellStyle name="Normal 37 2 2" xfId="2749" xr:uid="{00000000-0005-0000-0000-00002F0D0000}"/>
    <cellStyle name="Normal 37 2 3" xfId="2750" xr:uid="{00000000-0005-0000-0000-0000300D0000}"/>
    <cellStyle name="Normal 37 2 4" xfId="4901" xr:uid="{00000000-0005-0000-0000-0000310D0000}"/>
    <cellStyle name="Normal 37 3" xfId="2751" xr:uid="{00000000-0005-0000-0000-0000320D0000}"/>
    <cellStyle name="Normal 37 3 2" xfId="2752" xr:uid="{00000000-0005-0000-0000-0000330D0000}"/>
    <cellStyle name="Normal 37 4" xfId="2753" xr:uid="{00000000-0005-0000-0000-0000340D0000}"/>
    <cellStyle name="Normal 37 5" xfId="4900" xr:uid="{00000000-0005-0000-0000-0000350D0000}"/>
    <cellStyle name="Normal 38" xfId="2754" xr:uid="{00000000-0005-0000-0000-0000360D0000}"/>
    <cellStyle name="Normal 38 2" xfId="2755" xr:uid="{00000000-0005-0000-0000-0000370D0000}"/>
    <cellStyle name="Normal 38 2 2" xfId="2756" xr:uid="{00000000-0005-0000-0000-0000380D0000}"/>
    <cellStyle name="Normal 38 3" xfId="4902" xr:uid="{00000000-0005-0000-0000-0000390D0000}"/>
    <cellStyle name="Normal 39" xfId="2757" xr:uid="{00000000-0005-0000-0000-00003A0D0000}"/>
    <cellStyle name="Normal 39 2" xfId="2758" xr:uid="{00000000-0005-0000-0000-00003B0D0000}"/>
    <cellStyle name="Normal 39 2 2" xfId="2759" xr:uid="{00000000-0005-0000-0000-00003C0D0000}"/>
    <cellStyle name="Normal 39 2 3" xfId="4904" xr:uid="{00000000-0005-0000-0000-00003D0D0000}"/>
    <cellStyle name="Normal 39 3" xfId="2760" xr:uid="{00000000-0005-0000-0000-00003E0D0000}"/>
    <cellStyle name="Normal 39 3 2" xfId="2761" xr:uid="{00000000-0005-0000-0000-00003F0D0000}"/>
    <cellStyle name="Normal 39 4" xfId="4903" xr:uid="{00000000-0005-0000-0000-0000400D0000}"/>
    <cellStyle name="Normal 4" xfId="13" xr:uid="{00000000-0005-0000-0000-0000410D0000}"/>
    <cellStyle name="Normal 4 10" xfId="2762" xr:uid="{00000000-0005-0000-0000-0000420D0000}"/>
    <cellStyle name="Normal 4 11" xfId="2763" xr:uid="{00000000-0005-0000-0000-0000430D0000}"/>
    <cellStyle name="Normal 4 12" xfId="2764" xr:uid="{00000000-0005-0000-0000-0000440D0000}"/>
    <cellStyle name="Normal 4 13" xfId="2765" xr:uid="{00000000-0005-0000-0000-0000450D0000}"/>
    <cellStyle name="Normal 4 14" xfId="2766" xr:uid="{00000000-0005-0000-0000-0000460D0000}"/>
    <cellStyle name="Normal 4 15" xfId="2767" xr:uid="{00000000-0005-0000-0000-0000470D0000}"/>
    <cellStyle name="Normal 4 16" xfId="2768" xr:uid="{00000000-0005-0000-0000-0000480D0000}"/>
    <cellStyle name="Normal 4 17" xfId="2769" xr:uid="{00000000-0005-0000-0000-0000490D0000}"/>
    <cellStyle name="Normal 4 2" xfId="14" xr:uid="{00000000-0005-0000-0000-00004A0D0000}"/>
    <cellStyle name="Normal 4 2 2" xfId="2770" xr:uid="{00000000-0005-0000-0000-00004B0D0000}"/>
    <cellStyle name="Normal 4 2 2 2" xfId="4905" xr:uid="{00000000-0005-0000-0000-00004C0D0000}"/>
    <cellStyle name="Normal 4 3" xfId="2771" xr:uid="{00000000-0005-0000-0000-00004D0D0000}"/>
    <cellStyle name="Normal 4 3 2" xfId="4907" xr:uid="{00000000-0005-0000-0000-00004E0D0000}"/>
    <cellStyle name="Normal 4 3 3" xfId="4906" xr:uid="{00000000-0005-0000-0000-00004F0D0000}"/>
    <cellStyle name="Normal 4 4" xfId="2772" xr:uid="{00000000-0005-0000-0000-0000500D0000}"/>
    <cellStyle name="Normal 4 5" xfId="2773" xr:uid="{00000000-0005-0000-0000-0000510D0000}"/>
    <cellStyle name="Normal 4 6" xfId="2774" xr:uid="{00000000-0005-0000-0000-0000520D0000}"/>
    <cellStyle name="Normal 4 7" xfId="2775" xr:uid="{00000000-0005-0000-0000-0000530D0000}"/>
    <cellStyle name="Normal 4 8" xfId="2776" xr:uid="{00000000-0005-0000-0000-0000540D0000}"/>
    <cellStyle name="Normal 4 9" xfId="2777" xr:uid="{00000000-0005-0000-0000-0000550D0000}"/>
    <cellStyle name="Normal 4_57907_63310(1)" xfId="4908" xr:uid="{00000000-0005-0000-0000-0000560D0000}"/>
    <cellStyle name="Normal 40" xfId="2778" xr:uid="{00000000-0005-0000-0000-0000570D0000}"/>
    <cellStyle name="Normal 40 2" xfId="4909" xr:uid="{00000000-0005-0000-0000-0000580D0000}"/>
    <cellStyle name="Normal 41" xfId="2779" xr:uid="{00000000-0005-0000-0000-0000590D0000}"/>
    <cellStyle name="Normal 41 2" xfId="4910" xr:uid="{00000000-0005-0000-0000-00005A0D0000}"/>
    <cellStyle name="Normal 42" xfId="2780" xr:uid="{00000000-0005-0000-0000-00005B0D0000}"/>
    <cellStyle name="Normal 42 2" xfId="4911" xr:uid="{00000000-0005-0000-0000-00005C0D0000}"/>
    <cellStyle name="Normal 43" xfId="2781" xr:uid="{00000000-0005-0000-0000-00005D0D0000}"/>
    <cellStyle name="Normal 43 2" xfId="4912" xr:uid="{00000000-0005-0000-0000-00005E0D0000}"/>
    <cellStyle name="Normal 44" xfId="2782" xr:uid="{00000000-0005-0000-0000-00005F0D0000}"/>
    <cellStyle name="Normal 44 2" xfId="4913" xr:uid="{00000000-0005-0000-0000-0000600D0000}"/>
    <cellStyle name="Normal 45" xfId="2783" xr:uid="{00000000-0005-0000-0000-0000610D0000}"/>
    <cellStyle name="Normal 45 2" xfId="4914" xr:uid="{00000000-0005-0000-0000-0000620D0000}"/>
    <cellStyle name="Normal 46" xfId="2784" xr:uid="{00000000-0005-0000-0000-0000630D0000}"/>
    <cellStyle name="Normal 46 2" xfId="2785" xr:uid="{00000000-0005-0000-0000-0000640D0000}"/>
    <cellStyle name="Normal 46 3" xfId="4915" xr:uid="{00000000-0005-0000-0000-0000650D0000}"/>
    <cellStyle name="Normal 47" xfId="2786" xr:uid="{00000000-0005-0000-0000-0000660D0000}"/>
    <cellStyle name="Normal 47 2" xfId="4916" xr:uid="{00000000-0005-0000-0000-0000670D0000}"/>
    <cellStyle name="Normal 48" xfId="2787" xr:uid="{00000000-0005-0000-0000-0000680D0000}"/>
    <cellStyle name="Normal 48 2" xfId="4917" xr:uid="{00000000-0005-0000-0000-0000690D0000}"/>
    <cellStyle name="Normal 49" xfId="2788" xr:uid="{00000000-0005-0000-0000-00006A0D0000}"/>
    <cellStyle name="Normal 49 2" xfId="4918" xr:uid="{00000000-0005-0000-0000-00006B0D0000}"/>
    <cellStyle name="Normal 5" xfId="15" xr:uid="{00000000-0005-0000-0000-00006C0D0000}"/>
    <cellStyle name="Normal 5 2" xfId="2789" xr:uid="{00000000-0005-0000-0000-00006D0D0000}"/>
    <cellStyle name="Normal 5 2 2" xfId="2790" xr:uid="{00000000-0005-0000-0000-00006E0D0000}"/>
    <cellStyle name="Normal 5 2 2 2" xfId="4919" xr:uid="{00000000-0005-0000-0000-00006F0D0000}"/>
    <cellStyle name="Normal 5 3" xfId="4920" xr:uid="{00000000-0005-0000-0000-0000700D0000}"/>
    <cellStyle name="Normal 50" xfId="2791" xr:uid="{00000000-0005-0000-0000-0000710D0000}"/>
    <cellStyle name="Normal 50 2" xfId="4921" xr:uid="{00000000-0005-0000-0000-0000720D0000}"/>
    <cellStyle name="Normal 51" xfId="2792" xr:uid="{00000000-0005-0000-0000-0000730D0000}"/>
    <cellStyle name="Normal 51 2" xfId="4922" xr:uid="{00000000-0005-0000-0000-0000740D0000}"/>
    <cellStyle name="Normal 52" xfId="2793" xr:uid="{00000000-0005-0000-0000-0000750D0000}"/>
    <cellStyle name="Normal 52 2" xfId="4923" xr:uid="{00000000-0005-0000-0000-0000760D0000}"/>
    <cellStyle name="Normal 53" xfId="2794" xr:uid="{00000000-0005-0000-0000-0000770D0000}"/>
    <cellStyle name="Normal 53 2" xfId="4924" xr:uid="{00000000-0005-0000-0000-0000780D0000}"/>
    <cellStyle name="Normal 54" xfId="2795" xr:uid="{00000000-0005-0000-0000-0000790D0000}"/>
    <cellStyle name="Normal 54 2" xfId="4925" xr:uid="{00000000-0005-0000-0000-00007A0D0000}"/>
    <cellStyle name="Normal 55" xfId="4258" xr:uid="{00000000-0005-0000-0000-00007B0D0000}"/>
    <cellStyle name="Normal 55 2" xfId="4926" xr:uid="{00000000-0005-0000-0000-00007C0D0000}"/>
    <cellStyle name="Normal 56" xfId="4276" xr:uid="{00000000-0005-0000-0000-00007D0D0000}"/>
    <cellStyle name="Normal 56 2" xfId="4928" xr:uid="{00000000-0005-0000-0000-00007E0D0000}"/>
    <cellStyle name="Normal 56 3" xfId="4927" xr:uid="{00000000-0005-0000-0000-00007F0D0000}"/>
    <cellStyle name="Normal 56 4" xfId="5032" xr:uid="{00000000-0005-0000-0000-0000800D0000}"/>
    <cellStyle name="Normal 57" xfId="4929" xr:uid="{00000000-0005-0000-0000-0000810D0000}"/>
    <cellStyle name="Normal 58" xfId="4930" xr:uid="{00000000-0005-0000-0000-0000820D0000}"/>
    <cellStyle name="Normal 59" xfId="4931" xr:uid="{00000000-0005-0000-0000-0000830D0000}"/>
    <cellStyle name="Normal 6" xfId="16" xr:uid="{00000000-0005-0000-0000-0000840D0000}"/>
    <cellStyle name="Normal 6 10" xfId="2796" xr:uid="{00000000-0005-0000-0000-0000850D0000}"/>
    <cellStyle name="Normal 6 11" xfId="2797" xr:uid="{00000000-0005-0000-0000-0000860D0000}"/>
    <cellStyle name="Normal 6 12" xfId="2798" xr:uid="{00000000-0005-0000-0000-0000870D0000}"/>
    <cellStyle name="Normal 6 13" xfId="2799" xr:uid="{00000000-0005-0000-0000-0000880D0000}"/>
    <cellStyle name="Normal 6 14" xfId="2800" xr:uid="{00000000-0005-0000-0000-0000890D0000}"/>
    <cellStyle name="Normal 6 15" xfId="2801" xr:uid="{00000000-0005-0000-0000-00008A0D0000}"/>
    <cellStyle name="Normal 6 16" xfId="2802" xr:uid="{00000000-0005-0000-0000-00008B0D0000}"/>
    <cellStyle name="Normal 6 2" xfId="2803" xr:uid="{00000000-0005-0000-0000-00008C0D0000}"/>
    <cellStyle name="Normal 6 2 2" xfId="2804" xr:uid="{00000000-0005-0000-0000-00008D0D0000}"/>
    <cellStyle name="Normal 6 2 2 2" xfId="4932" xr:uid="{00000000-0005-0000-0000-00008E0D0000}"/>
    <cellStyle name="Normal 6 2 3" xfId="4933" xr:uid="{00000000-0005-0000-0000-00008F0D0000}"/>
    <cellStyle name="Normal 6 3" xfId="2805" xr:uid="{00000000-0005-0000-0000-0000900D0000}"/>
    <cellStyle name="Normal 6 3 2" xfId="4934" xr:uid="{00000000-0005-0000-0000-0000910D0000}"/>
    <cellStyle name="Normal 6 4" xfId="2806" xr:uid="{00000000-0005-0000-0000-0000920D0000}"/>
    <cellStyle name="Normal 6 5" xfId="2807" xr:uid="{00000000-0005-0000-0000-0000930D0000}"/>
    <cellStyle name="Normal 6 6" xfId="2808" xr:uid="{00000000-0005-0000-0000-0000940D0000}"/>
    <cellStyle name="Normal 6 7" xfId="2809" xr:uid="{00000000-0005-0000-0000-0000950D0000}"/>
    <cellStyle name="Normal 6 8" xfId="2810" xr:uid="{00000000-0005-0000-0000-0000960D0000}"/>
    <cellStyle name="Normal 6 9" xfId="2811" xr:uid="{00000000-0005-0000-0000-0000970D0000}"/>
    <cellStyle name="Normal 6_TPCP trinh UBND ngay 27-12" xfId="2812" xr:uid="{00000000-0005-0000-0000-0000980D0000}"/>
    <cellStyle name="Normal 60" xfId="4935" xr:uid="{00000000-0005-0000-0000-0000990D0000}"/>
    <cellStyle name="Normal 61" xfId="4936" xr:uid="{00000000-0005-0000-0000-00009A0D0000}"/>
    <cellStyle name="Normal 62" xfId="4937" xr:uid="{00000000-0005-0000-0000-00009B0D0000}"/>
    <cellStyle name="Normal 63" xfId="4938" xr:uid="{00000000-0005-0000-0000-00009C0D0000}"/>
    <cellStyle name="Normal 64" xfId="4939" xr:uid="{00000000-0005-0000-0000-00009D0D0000}"/>
    <cellStyle name="Normal 65" xfId="4940" xr:uid="{00000000-0005-0000-0000-00009E0D0000}"/>
    <cellStyle name="Normal 66" xfId="4941" xr:uid="{00000000-0005-0000-0000-00009F0D0000}"/>
    <cellStyle name="Normal 67" xfId="4942" xr:uid="{00000000-0005-0000-0000-0000A00D0000}"/>
    <cellStyle name="Normal 68" xfId="4943" xr:uid="{00000000-0005-0000-0000-0000A10D0000}"/>
    <cellStyle name="Normal 69" xfId="4944" xr:uid="{00000000-0005-0000-0000-0000A20D0000}"/>
    <cellStyle name="Normal 7" xfId="17" xr:uid="{00000000-0005-0000-0000-0000A30D0000}"/>
    <cellStyle name="Normal 7 2" xfId="2813" xr:uid="{00000000-0005-0000-0000-0000A40D0000}"/>
    <cellStyle name="Normal 7 2 2" xfId="4945" xr:uid="{00000000-0005-0000-0000-0000A50D0000}"/>
    <cellStyle name="Normal 7 2 3" xfId="4946" xr:uid="{00000000-0005-0000-0000-0000A60D0000}"/>
    <cellStyle name="Normal 7 3" xfId="2814" xr:uid="{00000000-0005-0000-0000-0000A70D0000}"/>
    <cellStyle name="Normal 7 3 2" xfId="2815" xr:uid="{00000000-0005-0000-0000-0000A80D0000}"/>
    <cellStyle name="Normal 7 3 2 2" xfId="4947" xr:uid="{00000000-0005-0000-0000-0000A90D0000}"/>
    <cellStyle name="Normal 7 3 3" xfId="2816" xr:uid="{00000000-0005-0000-0000-0000AA0D0000}"/>
    <cellStyle name="Normal 7 4" xfId="4948" xr:uid="{00000000-0005-0000-0000-0000AB0D0000}"/>
    <cellStyle name="Normal 7 5" xfId="4949" xr:uid="{00000000-0005-0000-0000-0000AC0D0000}"/>
    <cellStyle name="Normal 7_!1 1 bao cao giao KH ve HTCMT vung TNB   12-12-2011" xfId="2817" xr:uid="{00000000-0005-0000-0000-0000AD0D0000}"/>
    <cellStyle name="Normal 70" xfId="4950" xr:uid="{00000000-0005-0000-0000-0000AE0D0000}"/>
    <cellStyle name="Normal 71" xfId="4951" xr:uid="{00000000-0005-0000-0000-0000AF0D0000}"/>
    <cellStyle name="Normal 72" xfId="4952" xr:uid="{00000000-0005-0000-0000-0000B00D0000}"/>
    <cellStyle name="Normal 73" xfId="4953" xr:uid="{00000000-0005-0000-0000-0000B10D0000}"/>
    <cellStyle name="Normal 74" xfId="4954" xr:uid="{00000000-0005-0000-0000-0000B20D0000}"/>
    <cellStyle name="Normal 75" xfId="4955" xr:uid="{00000000-0005-0000-0000-0000B30D0000}"/>
    <cellStyle name="Normal 76" xfId="4956" xr:uid="{00000000-0005-0000-0000-0000B40D0000}"/>
    <cellStyle name="Normal 77" xfId="4957" xr:uid="{00000000-0005-0000-0000-0000B50D0000}"/>
    <cellStyle name="Normal 78" xfId="4958" xr:uid="{00000000-0005-0000-0000-0000B60D0000}"/>
    <cellStyle name="Normal 79" xfId="4959" xr:uid="{00000000-0005-0000-0000-0000B70D0000}"/>
    <cellStyle name="Normal 8" xfId="18" xr:uid="{00000000-0005-0000-0000-0000B80D0000}"/>
    <cellStyle name="Normal 8 2" xfId="2818" xr:uid="{00000000-0005-0000-0000-0000B90D0000}"/>
    <cellStyle name="Normal 8 2 2" xfId="2819" xr:uid="{00000000-0005-0000-0000-0000BA0D0000}"/>
    <cellStyle name="Normal 8 2 2 2" xfId="2820" xr:uid="{00000000-0005-0000-0000-0000BB0D0000}"/>
    <cellStyle name="Normal 8 2 2 2 2" xfId="4960" xr:uid="{00000000-0005-0000-0000-0000BC0D0000}"/>
    <cellStyle name="Normal 8 2 3" xfId="2821" xr:uid="{00000000-0005-0000-0000-0000BD0D0000}"/>
    <cellStyle name="Normal 8 2 3 2" xfId="4961" xr:uid="{00000000-0005-0000-0000-0000BE0D0000}"/>
    <cellStyle name="Normal 8 2_Phuongangiao 1-giaoxulykythuat" xfId="2822" xr:uid="{00000000-0005-0000-0000-0000BF0D0000}"/>
    <cellStyle name="Normal 8 3" xfId="2823" xr:uid="{00000000-0005-0000-0000-0000C00D0000}"/>
    <cellStyle name="Normal 8 3 2" xfId="4962" xr:uid="{00000000-0005-0000-0000-0000C10D0000}"/>
    <cellStyle name="Normal 8 4" xfId="4963" xr:uid="{00000000-0005-0000-0000-0000C20D0000}"/>
    <cellStyle name="Normal 8 5" xfId="4964" xr:uid="{00000000-0005-0000-0000-0000C30D0000}"/>
    <cellStyle name="Normal 8_Bieu6(JICA)" xfId="4965" xr:uid="{00000000-0005-0000-0000-0000C40D0000}"/>
    <cellStyle name="Normal 80" xfId="4966" xr:uid="{00000000-0005-0000-0000-0000C50D0000}"/>
    <cellStyle name="Normal 81" xfId="4967" xr:uid="{00000000-0005-0000-0000-0000C60D0000}"/>
    <cellStyle name="Normal 82" xfId="4968" xr:uid="{00000000-0005-0000-0000-0000C70D0000}"/>
    <cellStyle name="Normal 83" xfId="4969" xr:uid="{00000000-0005-0000-0000-0000C80D0000}"/>
    <cellStyle name="Normal 84" xfId="4970" xr:uid="{00000000-0005-0000-0000-0000C90D0000}"/>
    <cellStyle name="Normal 85" xfId="4971" xr:uid="{00000000-0005-0000-0000-0000CA0D0000}"/>
    <cellStyle name="Normal 86" xfId="4972" xr:uid="{00000000-0005-0000-0000-0000CB0D0000}"/>
    <cellStyle name="Normal 87" xfId="4973" xr:uid="{00000000-0005-0000-0000-0000CC0D0000}"/>
    <cellStyle name="Normal 88" xfId="4974" xr:uid="{00000000-0005-0000-0000-0000CD0D0000}"/>
    <cellStyle name="Normal 89" xfId="4975" xr:uid="{00000000-0005-0000-0000-0000CE0D0000}"/>
    <cellStyle name="Normal 9" xfId="2" xr:uid="{00000000-0005-0000-0000-0000CF0D0000}"/>
    <cellStyle name="Normal 9 10" xfId="2824" xr:uid="{00000000-0005-0000-0000-0000D00D0000}"/>
    <cellStyle name="Normal 9 12" xfId="2825" xr:uid="{00000000-0005-0000-0000-0000D10D0000}"/>
    <cellStyle name="Normal 9 13" xfId="2826" xr:uid="{00000000-0005-0000-0000-0000D20D0000}"/>
    <cellStyle name="Normal 9 17" xfId="2827" xr:uid="{00000000-0005-0000-0000-0000D30D0000}"/>
    <cellStyle name="Normal 9 2" xfId="2828" xr:uid="{00000000-0005-0000-0000-0000D40D0000}"/>
    <cellStyle name="Normal 9 2 2" xfId="4976" xr:uid="{00000000-0005-0000-0000-0000D50D0000}"/>
    <cellStyle name="Normal 9 21" xfId="2829" xr:uid="{00000000-0005-0000-0000-0000D60D0000}"/>
    <cellStyle name="Normal 9 23" xfId="2830" xr:uid="{00000000-0005-0000-0000-0000D70D0000}"/>
    <cellStyle name="Normal 9 3" xfId="2831" xr:uid="{00000000-0005-0000-0000-0000D80D0000}"/>
    <cellStyle name="Normal 9 46" xfId="2832" xr:uid="{00000000-0005-0000-0000-0000D90D0000}"/>
    <cellStyle name="Normal 9 47" xfId="2833" xr:uid="{00000000-0005-0000-0000-0000DA0D0000}"/>
    <cellStyle name="Normal 9 48" xfId="2834" xr:uid="{00000000-0005-0000-0000-0000DB0D0000}"/>
    <cellStyle name="Normal 9 49" xfId="2835" xr:uid="{00000000-0005-0000-0000-0000DC0D0000}"/>
    <cellStyle name="Normal 9 50" xfId="2836" xr:uid="{00000000-0005-0000-0000-0000DD0D0000}"/>
    <cellStyle name="Normal 9 51" xfId="2837" xr:uid="{00000000-0005-0000-0000-0000DE0D0000}"/>
    <cellStyle name="Normal 9 52" xfId="2838" xr:uid="{00000000-0005-0000-0000-0000DF0D0000}"/>
    <cellStyle name="Normal 9_Bieu KH trung han BKH TW" xfId="2839" xr:uid="{00000000-0005-0000-0000-0000E00D0000}"/>
    <cellStyle name="Normal 90" xfId="4977" xr:uid="{00000000-0005-0000-0000-0000E10D0000}"/>
    <cellStyle name="Normal 91" xfId="4978" xr:uid="{00000000-0005-0000-0000-0000E20D0000}"/>
    <cellStyle name="Normal 92" xfId="4277" xr:uid="{00000000-0005-0000-0000-0000E30D0000}"/>
    <cellStyle name="Normal_09 05 13 TH nguon KF thuc hien NQ 30a 2" xfId="4268" xr:uid="{00000000-0005-0000-0000-0000E40D0000}"/>
    <cellStyle name="Normal_Bieu mau (CV )" xfId="1" xr:uid="{00000000-0005-0000-0000-0000E50D0000}"/>
    <cellStyle name="Normal_Bieu mau (CV ) 2" xfId="3" xr:uid="{00000000-0005-0000-0000-0000E60D0000}"/>
    <cellStyle name="Normal_Bieu nhu cau bo tri  TPCP- 2010 -TH" xfId="4275" xr:uid="{00000000-0005-0000-0000-0000E70D0000}"/>
    <cellStyle name="Normal_Sheet1" xfId="4265" xr:uid="{00000000-0005-0000-0000-0000E80D0000}"/>
    <cellStyle name="Normal_Sheet2" xfId="4263" xr:uid="{00000000-0005-0000-0000-0000E90D0000}"/>
    <cellStyle name="Normal1" xfId="2840" xr:uid="{00000000-0005-0000-0000-0000EA0D0000}"/>
    <cellStyle name="Normal8" xfId="2841" xr:uid="{00000000-0005-0000-0000-0000EB0D0000}"/>
    <cellStyle name="Normalny_Cennik obowiazuje od 06-08-2001 r (1)" xfId="2842" xr:uid="{00000000-0005-0000-0000-0000EC0D0000}"/>
    <cellStyle name="Note 2" xfId="2843" xr:uid="{00000000-0005-0000-0000-0000ED0D0000}"/>
    <cellStyle name="Note 2 2" xfId="2844" xr:uid="{00000000-0005-0000-0000-0000EE0D0000}"/>
    <cellStyle name="Note 3" xfId="2845" xr:uid="{00000000-0005-0000-0000-0000EF0D0000}"/>
    <cellStyle name="Note 3 2" xfId="2846" xr:uid="{00000000-0005-0000-0000-0000F00D0000}"/>
    <cellStyle name="Note 4" xfId="2847" xr:uid="{00000000-0005-0000-0000-0000F10D0000}"/>
    <cellStyle name="Note 4 2" xfId="2848" xr:uid="{00000000-0005-0000-0000-0000F20D0000}"/>
    <cellStyle name="Note 5" xfId="2849" xr:uid="{00000000-0005-0000-0000-0000F30D0000}"/>
    <cellStyle name="NWM" xfId="2850" xr:uid="{00000000-0005-0000-0000-0000F40D0000}"/>
    <cellStyle name="Ò_x000a_Normal_123569" xfId="2852" xr:uid="{00000000-0005-0000-0000-0000F50D0000}"/>
    <cellStyle name="Ò_x000d_Normal_123569" xfId="2853" xr:uid="{00000000-0005-0000-0000-0000F60D0000}"/>
    <cellStyle name="Ò_x005f_x000d_Normal_123569" xfId="2854" xr:uid="{00000000-0005-0000-0000-0000F70D0000}"/>
    <cellStyle name="Ò_x005f_x005f_x005f_x000d_Normal_123569" xfId="2855" xr:uid="{00000000-0005-0000-0000-0000F80D0000}"/>
    <cellStyle name="Œ…‹æØ‚è [0.00]_ÆÂ¹²" xfId="2856" xr:uid="{00000000-0005-0000-0000-0000F90D0000}"/>
    <cellStyle name="Œ…‹æØ‚è_laroux" xfId="2857" xr:uid="{00000000-0005-0000-0000-0000FA0D0000}"/>
    <cellStyle name="oft Excel]_x000a__x000a_Comment=open=/f ‚ðw’è‚·‚é‚ÆAƒ†[ƒU[’è‹`ŠÖ”‚ðŠÖ”“\‚è•t‚¯‚Ìˆê——‚É“o˜^‚·‚é‚±‚Æ‚ª‚Å‚«‚Ü‚·B_x000a__x000a_Maximized" xfId="2858" xr:uid="{00000000-0005-0000-0000-0000FB0D0000}"/>
    <cellStyle name="oft Excel]_x000a__x000a_Comment=open=/f ‚ðŽw’è‚·‚é‚ÆAƒ†[ƒU[’è‹`ŠÖ”‚ðŠÖ”“\‚è•t‚¯‚Ìˆê——‚É“o˜^‚·‚é‚±‚Æ‚ª‚Å‚«‚Ü‚·B_x000a__x000a_Maximized" xfId="2859" xr:uid="{00000000-0005-0000-0000-0000FC0D0000}"/>
    <cellStyle name="oft Excel]_x000a__x000a_Comment=The open=/f lines load custom functions into the Paste Function list._x000a__x000a_Maximized=2_x000a__x000a_Basics=1_x000a__x000a_A" xfId="2860" xr:uid="{00000000-0005-0000-0000-0000FD0D0000}"/>
    <cellStyle name="oft Excel]_x000a__x000a_Comment=The open=/f lines load custom functions into the Paste Function list._x000a__x000a_Maximized=3_x000a__x000a_Basics=1_x000a__x000a_A" xfId="2861" xr:uid="{00000000-0005-0000-0000-0000FE0D0000}"/>
    <cellStyle name="oft Excel]_x000d__x000a_Comment=open=/f ‚ðw’è‚·‚é‚ÆAƒ†[ƒU[’è‹`ŠÖ”‚ðŠÖ”“\‚è•t‚¯‚Ìˆê——‚É“o˜^‚·‚é‚±‚Æ‚ª‚Å‚«‚Ü‚·B_x000d__x000a_Maximized" xfId="2862" xr:uid="{00000000-0005-0000-0000-0000FF0D0000}"/>
    <cellStyle name="oft Excel]_x000d__x000a_Comment=open=/f ‚ðŽw’è‚·‚é‚ÆAƒ†[ƒU[’è‹`ŠÖ”‚ðŠÖ”“\‚è•t‚¯‚Ìˆê——‚É“o˜^‚·‚é‚±‚Æ‚ª‚Å‚«‚Ü‚·B_x000d__x000a_Maximized" xfId="2863" xr:uid="{00000000-0005-0000-0000-0000000E0000}"/>
    <cellStyle name="oft Excel]_x000d__x000a_Comment=The open=/f lines load custom functions into the Paste Function list._x000d__x000a_Maximized=2_x000d__x000a_Basics=1_x000d__x000a_A" xfId="2864" xr:uid="{00000000-0005-0000-0000-0000010E0000}"/>
    <cellStyle name="oft Excel]_x000d__x000a_Comment=The open=/f lines load custom functions into the Paste Function list._x000d__x000a_Maximized=3_x000d__x000a_Basics=1_x000d__x000a_A" xfId="2865" xr:uid="{00000000-0005-0000-0000-0000020E0000}"/>
    <cellStyle name="oft Excel]_x005f_x000d__x005f_x000a_Comment=open=/f ‚ðw’è‚·‚é‚ÆAƒ†[ƒU[’è‹`ŠÖ”‚ðŠÖ”“\‚è•t‚¯‚Ìˆê——‚É“o˜^‚·‚é‚±‚Æ‚ª‚Å‚«‚Ü‚·B_x005f_x000d__x005f_x000a_Maximized" xfId="2866" xr:uid="{00000000-0005-0000-0000-0000030E0000}"/>
    <cellStyle name="omma [0]_Mktg Prog" xfId="2867" xr:uid="{00000000-0005-0000-0000-0000040E0000}"/>
    <cellStyle name="ormal_Sheet1_1" xfId="2868" xr:uid="{00000000-0005-0000-0000-0000050E0000}"/>
    <cellStyle name="Output 2" xfId="2869" xr:uid="{00000000-0005-0000-0000-0000060E0000}"/>
    <cellStyle name="p" xfId="2870" xr:uid="{00000000-0005-0000-0000-0000070E0000}"/>
    <cellStyle name="paint" xfId="2871" xr:uid="{00000000-0005-0000-0000-0000080E0000}"/>
    <cellStyle name="paint 2" xfId="2872" xr:uid="{00000000-0005-0000-0000-0000090E0000}"/>
    <cellStyle name="paint_05-12  KH trung han 2016-2020 - Liem Thinh edited" xfId="2873" xr:uid="{00000000-0005-0000-0000-00000A0E0000}"/>
    <cellStyle name="Pattern" xfId="2874" xr:uid="{00000000-0005-0000-0000-00000B0E0000}"/>
    <cellStyle name="Pattern 10" xfId="2875" xr:uid="{00000000-0005-0000-0000-00000C0E0000}"/>
    <cellStyle name="Pattern 11" xfId="2876" xr:uid="{00000000-0005-0000-0000-00000D0E0000}"/>
    <cellStyle name="Pattern 12" xfId="2877" xr:uid="{00000000-0005-0000-0000-00000E0E0000}"/>
    <cellStyle name="Pattern 13" xfId="2878" xr:uid="{00000000-0005-0000-0000-00000F0E0000}"/>
    <cellStyle name="Pattern 14" xfId="2879" xr:uid="{00000000-0005-0000-0000-0000100E0000}"/>
    <cellStyle name="Pattern 15" xfId="2880" xr:uid="{00000000-0005-0000-0000-0000110E0000}"/>
    <cellStyle name="Pattern 16" xfId="2881" xr:uid="{00000000-0005-0000-0000-0000120E0000}"/>
    <cellStyle name="Pattern 17" xfId="4979" xr:uid="{00000000-0005-0000-0000-0000130E0000}"/>
    <cellStyle name="Pattern 2" xfId="2882" xr:uid="{00000000-0005-0000-0000-0000140E0000}"/>
    <cellStyle name="Pattern 3" xfId="2883" xr:uid="{00000000-0005-0000-0000-0000150E0000}"/>
    <cellStyle name="Pattern 4" xfId="2884" xr:uid="{00000000-0005-0000-0000-0000160E0000}"/>
    <cellStyle name="Pattern 5" xfId="2885" xr:uid="{00000000-0005-0000-0000-0000170E0000}"/>
    <cellStyle name="Pattern 6" xfId="2886" xr:uid="{00000000-0005-0000-0000-0000180E0000}"/>
    <cellStyle name="Pattern 7" xfId="2887" xr:uid="{00000000-0005-0000-0000-0000190E0000}"/>
    <cellStyle name="Pattern 8" xfId="2888" xr:uid="{00000000-0005-0000-0000-00001A0E0000}"/>
    <cellStyle name="Pattern 9" xfId="2889" xr:uid="{00000000-0005-0000-0000-00001B0E0000}"/>
    <cellStyle name="per.style" xfId="2890" xr:uid="{00000000-0005-0000-0000-00001C0E0000}"/>
    <cellStyle name="per.style 2" xfId="2891" xr:uid="{00000000-0005-0000-0000-00001D0E0000}"/>
    <cellStyle name="Percent %" xfId="2892" xr:uid="{00000000-0005-0000-0000-00001E0E0000}"/>
    <cellStyle name="Percent % Long Underline" xfId="2893" xr:uid="{00000000-0005-0000-0000-00001F0E0000}"/>
    <cellStyle name="Percent %_Worksheet in  US Financial Statements Ref. Workbook - Single Co" xfId="2894" xr:uid="{00000000-0005-0000-0000-0000200E0000}"/>
    <cellStyle name="Percent (0)" xfId="2895" xr:uid="{00000000-0005-0000-0000-0000210E0000}"/>
    <cellStyle name="Percent (0) 10" xfId="2896" xr:uid="{00000000-0005-0000-0000-0000220E0000}"/>
    <cellStyle name="Percent (0) 11" xfId="2897" xr:uid="{00000000-0005-0000-0000-0000230E0000}"/>
    <cellStyle name="Percent (0) 12" xfId="2898" xr:uid="{00000000-0005-0000-0000-0000240E0000}"/>
    <cellStyle name="Percent (0) 13" xfId="2899" xr:uid="{00000000-0005-0000-0000-0000250E0000}"/>
    <cellStyle name="Percent (0) 14" xfId="2900" xr:uid="{00000000-0005-0000-0000-0000260E0000}"/>
    <cellStyle name="Percent (0) 15" xfId="2901" xr:uid="{00000000-0005-0000-0000-0000270E0000}"/>
    <cellStyle name="Percent (0) 2" xfId="2902" xr:uid="{00000000-0005-0000-0000-0000280E0000}"/>
    <cellStyle name="Percent (0) 3" xfId="2903" xr:uid="{00000000-0005-0000-0000-0000290E0000}"/>
    <cellStyle name="Percent (0) 4" xfId="2904" xr:uid="{00000000-0005-0000-0000-00002A0E0000}"/>
    <cellStyle name="Percent (0) 5" xfId="2905" xr:uid="{00000000-0005-0000-0000-00002B0E0000}"/>
    <cellStyle name="Percent (0) 6" xfId="2906" xr:uid="{00000000-0005-0000-0000-00002C0E0000}"/>
    <cellStyle name="Percent (0) 7" xfId="2907" xr:uid="{00000000-0005-0000-0000-00002D0E0000}"/>
    <cellStyle name="Percent (0) 8" xfId="2908" xr:uid="{00000000-0005-0000-0000-00002E0E0000}"/>
    <cellStyle name="Percent (0) 9" xfId="2909" xr:uid="{00000000-0005-0000-0000-00002F0E0000}"/>
    <cellStyle name="Percent [0]" xfId="2910" xr:uid="{00000000-0005-0000-0000-0000300E0000}"/>
    <cellStyle name="Percent [0] 10" xfId="2911" xr:uid="{00000000-0005-0000-0000-0000310E0000}"/>
    <cellStyle name="Percent [0] 11" xfId="2912" xr:uid="{00000000-0005-0000-0000-0000320E0000}"/>
    <cellStyle name="Percent [0] 12" xfId="2913" xr:uid="{00000000-0005-0000-0000-0000330E0000}"/>
    <cellStyle name="Percent [0] 13" xfId="2914" xr:uid="{00000000-0005-0000-0000-0000340E0000}"/>
    <cellStyle name="Percent [0] 14" xfId="2915" xr:uid="{00000000-0005-0000-0000-0000350E0000}"/>
    <cellStyle name="Percent [0] 15" xfId="2916" xr:uid="{00000000-0005-0000-0000-0000360E0000}"/>
    <cellStyle name="Percent [0] 16" xfId="2917" xr:uid="{00000000-0005-0000-0000-0000370E0000}"/>
    <cellStyle name="Percent [0] 2" xfId="2918" xr:uid="{00000000-0005-0000-0000-0000380E0000}"/>
    <cellStyle name="Percent [0] 3" xfId="2919" xr:uid="{00000000-0005-0000-0000-0000390E0000}"/>
    <cellStyle name="Percent [0] 4" xfId="2920" xr:uid="{00000000-0005-0000-0000-00003A0E0000}"/>
    <cellStyle name="Percent [0] 5" xfId="2921" xr:uid="{00000000-0005-0000-0000-00003B0E0000}"/>
    <cellStyle name="Percent [0] 6" xfId="2922" xr:uid="{00000000-0005-0000-0000-00003C0E0000}"/>
    <cellStyle name="Percent [0] 7" xfId="2923" xr:uid="{00000000-0005-0000-0000-00003D0E0000}"/>
    <cellStyle name="Percent [0] 8" xfId="2924" xr:uid="{00000000-0005-0000-0000-00003E0E0000}"/>
    <cellStyle name="Percent [0] 9" xfId="2925" xr:uid="{00000000-0005-0000-0000-00003F0E0000}"/>
    <cellStyle name="Percent [00]" xfId="2926" xr:uid="{00000000-0005-0000-0000-0000400E0000}"/>
    <cellStyle name="Percent [00] 10" xfId="2927" xr:uid="{00000000-0005-0000-0000-0000410E0000}"/>
    <cellStyle name="Percent [00] 11" xfId="2928" xr:uid="{00000000-0005-0000-0000-0000420E0000}"/>
    <cellStyle name="Percent [00] 12" xfId="2929" xr:uid="{00000000-0005-0000-0000-0000430E0000}"/>
    <cellStyle name="Percent [00] 13" xfId="2930" xr:uid="{00000000-0005-0000-0000-0000440E0000}"/>
    <cellStyle name="Percent [00] 14" xfId="2931" xr:uid="{00000000-0005-0000-0000-0000450E0000}"/>
    <cellStyle name="Percent [00] 15" xfId="2932" xr:uid="{00000000-0005-0000-0000-0000460E0000}"/>
    <cellStyle name="Percent [00] 16" xfId="2933" xr:uid="{00000000-0005-0000-0000-0000470E0000}"/>
    <cellStyle name="Percent [00] 2" xfId="2934" xr:uid="{00000000-0005-0000-0000-0000480E0000}"/>
    <cellStyle name="Percent [00] 3" xfId="2935" xr:uid="{00000000-0005-0000-0000-0000490E0000}"/>
    <cellStyle name="Percent [00] 4" xfId="2936" xr:uid="{00000000-0005-0000-0000-00004A0E0000}"/>
    <cellStyle name="Percent [00] 5" xfId="2937" xr:uid="{00000000-0005-0000-0000-00004B0E0000}"/>
    <cellStyle name="Percent [00] 6" xfId="2938" xr:uid="{00000000-0005-0000-0000-00004C0E0000}"/>
    <cellStyle name="Percent [00] 7" xfId="2939" xr:uid="{00000000-0005-0000-0000-00004D0E0000}"/>
    <cellStyle name="Percent [00] 8" xfId="2940" xr:uid="{00000000-0005-0000-0000-00004E0E0000}"/>
    <cellStyle name="Percent [00] 9" xfId="2941" xr:uid="{00000000-0005-0000-0000-00004F0E0000}"/>
    <cellStyle name="Percent [2]" xfId="2942" xr:uid="{00000000-0005-0000-0000-0000500E0000}"/>
    <cellStyle name="Percent [2] 10" xfId="2943" xr:uid="{00000000-0005-0000-0000-0000510E0000}"/>
    <cellStyle name="Percent [2] 11" xfId="2944" xr:uid="{00000000-0005-0000-0000-0000520E0000}"/>
    <cellStyle name="Percent [2] 12" xfId="2945" xr:uid="{00000000-0005-0000-0000-0000530E0000}"/>
    <cellStyle name="Percent [2] 13" xfId="2946" xr:uid="{00000000-0005-0000-0000-0000540E0000}"/>
    <cellStyle name="Percent [2] 14" xfId="2947" xr:uid="{00000000-0005-0000-0000-0000550E0000}"/>
    <cellStyle name="Percent [2] 15" xfId="2948" xr:uid="{00000000-0005-0000-0000-0000560E0000}"/>
    <cellStyle name="Percent [2] 16" xfId="2949" xr:uid="{00000000-0005-0000-0000-0000570E0000}"/>
    <cellStyle name="Percent [2] 2" xfId="2950" xr:uid="{00000000-0005-0000-0000-0000580E0000}"/>
    <cellStyle name="Percent [2] 2 2" xfId="2951" xr:uid="{00000000-0005-0000-0000-0000590E0000}"/>
    <cellStyle name="Percent [2] 3" xfId="2952" xr:uid="{00000000-0005-0000-0000-00005A0E0000}"/>
    <cellStyle name="Percent [2] 4" xfId="2953" xr:uid="{00000000-0005-0000-0000-00005B0E0000}"/>
    <cellStyle name="Percent [2] 5" xfId="2954" xr:uid="{00000000-0005-0000-0000-00005C0E0000}"/>
    <cellStyle name="Percent [2] 6" xfId="2955" xr:uid="{00000000-0005-0000-0000-00005D0E0000}"/>
    <cellStyle name="Percent [2] 7" xfId="2956" xr:uid="{00000000-0005-0000-0000-00005E0E0000}"/>
    <cellStyle name="Percent [2] 8" xfId="2957" xr:uid="{00000000-0005-0000-0000-00005F0E0000}"/>
    <cellStyle name="Percent [2] 9" xfId="2958" xr:uid="{00000000-0005-0000-0000-0000600E0000}"/>
    <cellStyle name="Percent 0.0%" xfId="2959" xr:uid="{00000000-0005-0000-0000-0000610E0000}"/>
    <cellStyle name="Percent 0.0% Long Underline" xfId="2960" xr:uid="{00000000-0005-0000-0000-0000620E0000}"/>
    <cellStyle name="Percent 0.00%" xfId="2961" xr:uid="{00000000-0005-0000-0000-0000630E0000}"/>
    <cellStyle name="Percent 0.00% Long Underline" xfId="2962" xr:uid="{00000000-0005-0000-0000-0000640E0000}"/>
    <cellStyle name="Percent 0.000%" xfId="2963" xr:uid="{00000000-0005-0000-0000-0000650E0000}"/>
    <cellStyle name="Percent 0.000% Long Underline" xfId="2964" xr:uid="{00000000-0005-0000-0000-0000660E0000}"/>
    <cellStyle name="Percent 10" xfId="2965" xr:uid="{00000000-0005-0000-0000-0000670E0000}"/>
    <cellStyle name="Percent 10 2" xfId="2966" xr:uid="{00000000-0005-0000-0000-0000680E0000}"/>
    <cellStyle name="Percent 11" xfId="2967" xr:uid="{00000000-0005-0000-0000-0000690E0000}"/>
    <cellStyle name="Percent 11 2" xfId="2968" xr:uid="{00000000-0005-0000-0000-00006A0E0000}"/>
    <cellStyle name="Percent 12" xfId="2969" xr:uid="{00000000-0005-0000-0000-00006B0E0000}"/>
    <cellStyle name="Percent 12 2" xfId="2970" xr:uid="{00000000-0005-0000-0000-00006C0E0000}"/>
    <cellStyle name="Percent 13" xfId="2971" xr:uid="{00000000-0005-0000-0000-00006D0E0000}"/>
    <cellStyle name="Percent 13 2" xfId="2972" xr:uid="{00000000-0005-0000-0000-00006E0E0000}"/>
    <cellStyle name="Percent 14" xfId="2973" xr:uid="{00000000-0005-0000-0000-00006F0E0000}"/>
    <cellStyle name="Percent 14 2" xfId="2974" xr:uid="{00000000-0005-0000-0000-0000700E0000}"/>
    <cellStyle name="Percent 15" xfId="2975" xr:uid="{00000000-0005-0000-0000-0000710E0000}"/>
    <cellStyle name="Percent 16" xfId="2976" xr:uid="{00000000-0005-0000-0000-0000720E0000}"/>
    <cellStyle name="Percent 17" xfId="2977" xr:uid="{00000000-0005-0000-0000-0000730E0000}"/>
    <cellStyle name="Percent 18" xfId="2978" xr:uid="{00000000-0005-0000-0000-0000740E0000}"/>
    <cellStyle name="Percent 19" xfId="2979" xr:uid="{00000000-0005-0000-0000-0000750E0000}"/>
    <cellStyle name="Percent 19 2" xfId="2980" xr:uid="{00000000-0005-0000-0000-0000760E0000}"/>
    <cellStyle name="Percent 2" xfId="19" xr:uid="{00000000-0005-0000-0000-0000770E0000}"/>
    <cellStyle name="Percent 2 2" xfId="2981" xr:uid="{00000000-0005-0000-0000-0000780E0000}"/>
    <cellStyle name="Percent 2 2 2" xfId="2982" xr:uid="{00000000-0005-0000-0000-0000790E0000}"/>
    <cellStyle name="Percent 2 2 2 2" xfId="4980" xr:uid="{00000000-0005-0000-0000-00007A0E0000}"/>
    <cellStyle name="Percent 2 2 3" xfId="2983" xr:uid="{00000000-0005-0000-0000-00007B0E0000}"/>
    <cellStyle name="Percent 2 2 3 2" xfId="4981" xr:uid="{00000000-0005-0000-0000-00007C0E0000}"/>
    <cellStyle name="Percent 2 3" xfId="2984" xr:uid="{00000000-0005-0000-0000-00007D0E0000}"/>
    <cellStyle name="Percent 2 3 2" xfId="4982" xr:uid="{00000000-0005-0000-0000-00007E0E0000}"/>
    <cellStyle name="Percent 2 4" xfId="2985" xr:uid="{00000000-0005-0000-0000-00007F0E0000}"/>
    <cellStyle name="Percent 2 5" xfId="4983" xr:uid="{00000000-0005-0000-0000-0000800E0000}"/>
    <cellStyle name="Percent 20" xfId="2986" xr:uid="{00000000-0005-0000-0000-0000810E0000}"/>
    <cellStyle name="Percent 20 2" xfId="2987" xr:uid="{00000000-0005-0000-0000-0000820E0000}"/>
    <cellStyle name="Percent 21" xfId="2988" xr:uid="{00000000-0005-0000-0000-0000830E0000}"/>
    <cellStyle name="Percent 22" xfId="2989" xr:uid="{00000000-0005-0000-0000-0000840E0000}"/>
    <cellStyle name="Percent 23" xfId="2990" xr:uid="{00000000-0005-0000-0000-0000850E0000}"/>
    <cellStyle name="Percent 3" xfId="2991" xr:uid="{00000000-0005-0000-0000-0000860E0000}"/>
    <cellStyle name="Percent 3 2" xfId="2992" xr:uid="{00000000-0005-0000-0000-0000870E0000}"/>
    <cellStyle name="Percent 3 2 2" xfId="4984" xr:uid="{00000000-0005-0000-0000-0000880E0000}"/>
    <cellStyle name="Percent 3 3" xfId="2993" xr:uid="{00000000-0005-0000-0000-0000890E0000}"/>
    <cellStyle name="Percent 4" xfId="2994" xr:uid="{00000000-0005-0000-0000-00008A0E0000}"/>
    <cellStyle name="Percent 4 2" xfId="2995" xr:uid="{00000000-0005-0000-0000-00008B0E0000}"/>
    <cellStyle name="Percent 5" xfId="2996" xr:uid="{00000000-0005-0000-0000-00008C0E0000}"/>
    <cellStyle name="Percent 5 2" xfId="2997" xr:uid="{00000000-0005-0000-0000-00008D0E0000}"/>
    <cellStyle name="Percent 5 3" xfId="4985" xr:uid="{00000000-0005-0000-0000-00008E0E0000}"/>
    <cellStyle name="Percent 6" xfId="2998" xr:uid="{00000000-0005-0000-0000-00008F0E0000}"/>
    <cellStyle name="Percent 6 2" xfId="2999" xr:uid="{00000000-0005-0000-0000-0000900E0000}"/>
    <cellStyle name="Percent 6 2 2" xfId="4987" xr:uid="{00000000-0005-0000-0000-0000910E0000}"/>
    <cellStyle name="Percent 6 3" xfId="4986" xr:uid="{00000000-0005-0000-0000-0000920E0000}"/>
    <cellStyle name="Percent 7" xfId="3000" xr:uid="{00000000-0005-0000-0000-0000930E0000}"/>
    <cellStyle name="Percent 7 2" xfId="3001" xr:uid="{00000000-0005-0000-0000-0000940E0000}"/>
    <cellStyle name="Percent 7 3" xfId="4988" xr:uid="{00000000-0005-0000-0000-0000950E0000}"/>
    <cellStyle name="Percent 8" xfId="3002" xr:uid="{00000000-0005-0000-0000-0000960E0000}"/>
    <cellStyle name="Percent 8 2" xfId="3003" xr:uid="{00000000-0005-0000-0000-0000970E0000}"/>
    <cellStyle name="Percent 8 3" xfId="4989" xr:uid="{00000000-0005-0000-0000-0000980E0000}"/>
    <cellStyle name="Percent 9" xfId="3004" xr:uid="{00000000-0005-0000-0000-0000990E0000}"/>
    <cellStyle name="Percent 9 2" xfId="3005" xr:uid="{00000000-0005-0000-0000-00009A0E0000}"/>
    <cellStyle name="PERCENTAGE" xfId="3006" xr:uid="{00000000-0005-0000-0000-00009B0E0000}"/>
    <cellStyle name="PERCENTAGE 2" xfId="3007" xr:uid="{00000000-0005-0000-0000-00009C0E0000}"/>
    <cellStyle name="PrePop Currency (0)" xfId="3008" xr:uid="{00000000-0005-0000-0000-00009D0E0000}"/>
    <cellStyle name="PrePop Currency (0) 10" xfId="3009" xr:uid="{00000000-0005-0000-0000-00009E0E0000}"/>
    <cellStyle name="PrePop Currency (0) 11" xfId="3010" xr:uid="{00000000-0005-0000-0000-00009F0E0000}"/>
    <cellStyle name="PrePop Currency (0) 12" xfId="3011" xr:uid="{00000000-0005-0000-0000-0000A00E0000}"/>
    <cellStyle name="PrePop Currency (0) 13" xfId="3012" xr:uid="{00000000-0005-0000-0000-0000A10E0000}"/>
    <cellStyle name="PrePop Currency (0) 14" xfId="3013" xr:uid="{00000000-0005-0000-0000-0000A20E0000}"/>
    <cellStyle name="PrePop Currency (0) 15" xfId="3014" xr:uid="{00000000-0005-0000-0000-0000A30E0000}"/>
    <cellStyle name="PrePop Currency (0) 16" xfId="3015" xr:uid="{00000000-0005-0000-0000-0000A40E0000}"/>
    <cellStyle name="PrePop Currency (0) 2" xfId="3016" xr:uid="{00000000-0005-0000-0000-0000A50E0000}"/>
    <cellStyle name="PrePop Currency (0) 3" xfId="3017" xr:uid="{00000000-0005-0000-0000-0000A60E0000}"/>
    <cellStyle name="PrePop Currency (0) 4" xfId="3018" xr:uid="{00000000-0005-0000-0000-0000A70E0000}"/>
    <cellStyle name="PrePop Currency (0) 5" xfId="3019" xr:uid="{00000000-0005-0000-0000-0000A80E0000}"/>
    <cellStyle name="PrePop Currency (0) 6" xfId="3020" xr:uid="{00000000-0005-0000-0000-0000A90E0000}"/>
    <cellStyle name="PrePop Currency (0) 7" xfId="3021" xr:uid="{00000000-0005-0000-0000-0000AA0E0000}"/>
    <cellStyle name="PrePop Currency (0) 8" xfId="3022" xr:uid="{00000000-0005-0000-0000-0000AB0E0000}"/>
    <cellStyle name="PrePop Currency (0) 9" xfId="3023" xr:uid="{00000000-0005-0000-0000-0000AC0E0000}"/>
    <cellStyle name="PrePop Currency (2)" xfId="3024" xr:uid="{00000000-0005-0000-0000-0000AD0E0000}"/>
    <cellStyle name="PrePop Currency (2) 10" xfId="3025" xr:uid="{00000000-0005-0000-0000-0000AE0E0000}"/>
    <cellStyle name="PrePop Currency (2) 11" xfId="3026" xr:uid="{00000000-0005-0000-0000-0000AF0E0000}"/>
    <cellStyle name="PrePop Currency (2) 12" xfId="3027" xr:uid="{00000000-0005-0000-0000-0000B00E0000}"/>
    <cellStyle name="PrePop Currency (2) 13" xfId="3028" xr:uid="{00000000-0005-0000-0000-0000B10E0000}"/>
    <cellStyle name="PrePop Currency (2) 14" xfId="3029" xr:uid="{00000000-0005-0000-0000-0000B20E0000}"/>
    <cellStyle name="PrePop Currency (2) 15" xfId="3030" xr:uid="{00000000-0005-0000-0000-0000B30E0000}"/>
    <cellStyle name="PrePop Currency (2) 16" xfId="3031" xr:uid="{00000000-0005-0000-0000-0000B40E0000}"/>
    <cellStyle name="PrePop Currency (2) 2" xfId="3032" xr:uid="{00000000-0005-0000-0000-0000B50E0000}"/>
    <cellStyle name="PrePop Currency (2) 3" xfId="3033" xr:uid="{00000000-0005-0000-0000-0000B60E0000}"/>
    <cellStyle name="PrePop Currency (2) 4" xfId="3034" xr:uid="{00000000-0005-0000-0000-0000B70E0000}"/>
    <cellStyle name="PrePop Currency (2) 5" xfId="3035" xr:uid="{00000000-0005-0000-0000-0000B80E0000}"/>
    <cellStyle name="PrePop Currency (2) 6" xfId="3036" xr:uid="{00000000-0005-0000-0000-0000B90E0000}"/>
    <cellStyle name="PrePop Currency (2) 7" xfId="3037" xr:uid="{00000000-0005-0000-0000-0000BA0E0000}"/>
    <cellStyle name="PrePop Currency (2) 8" xfId="3038" xr:uid="{00000000-0005-0000-0000-0000BB0E0000}"/>
    <cellStyle name="PrePop Currency (2) 9" xfId="3039" xr:uid="{00000000-0005-0000-0000-0000BC0E0000}"/>
    <cellStyle name="PrePop Units (0)" xfId="3040" xr:uid="{00000000-0005-0000-0000-0000BD0E0000}"/>
    <cellStyle name="PrePop Units (0) 10" xfId="3041" xr:uid="{00000000-0005-0000-0000-0000BE0E0000}"/>
    <cellStyle name="PrePop Units (0) 11" xfId="3042" xr:uid="{00000000-0005-0000-0000-0000BF0E0000}"/>
    <cellStyle name="PrePop Units (0) 12" xfId="3043" xr:uid="{00000000-0005-0000-0000-0000C00E0000}"/>
    <cellStyle name="PrePop Units (0) 13" xfId="3044" xr:uid="{00000000-0005-0000-0000-0000C10E0000}"/>
    <cellStyle name="PrePop Units (0) 14" xfId="3045" xr:uid="{00000000-0005-0000-0000-0000C20E0000}"/>
    <cellStyle name="PrePop Units (0) 15" xfId="3046" xr:uid="{00000000-0005-0000-0000-0000C30E0000}"/>
    <cellStyle name="PrePop Units (0) 16" xfId="3047" xr:uid="{00000000-0005-0000-0000-0000C40E0000}"/>
    <cellStyle name="PrePop Units (0) 2" xfId="3048" xr:uid="{00000000-0005-0000-0000-0000C50E0000}"/>
    <cellStyle name="PrePop Units (0) 3" xfId="3049" xr:uid="{00000000-0005-0000-0000-0000C60E0000}"/>
    <cellStyle name="PrePop Units (0) 4" xfId="3050" xr:uid="{00000000-0005-0000-0000-0000C70E0000}"/>
    <cellStyle name="PrePop Units (0) 5" xfId="3051" xr:uid="{00000000-0005-0000-0000-0000C80E0000}"/>
    <cellStyle name="PrePop Units (0) 6" xfId="3052" xr:uid="{00000000-0005-0000-0000-0000C90E0000}"/>
    <cellStyle name="PrePop Units (0) 7" xfId="3053" xr:uid="{00000000-0005-0000-0000-0000CA0E0000}"/>
    <cellStyle name="PrePop Units (0) 8" xfId="3054" xr:uid="{00000000-0005-0000-0000-0000CB0E0000}"/>
    <cellStyle name="PrePop Units (0) 9" xfId="3055" xr:uid="{00000000-0005-0000-0000-0000CC0E0000}"/>
    <cellStyle name="PrePop Units (1)" xfId="3056" xr:uid="{00000000-0005-0000-0000-0000CD0E0000}"/>
    <cellStyle name="PrePop Units (1) 10" xfId="3057" xr:uid="{00000000-0005-0000-0000-0000CE0E0000}"/>
    <cellStyle name="PrePop Units (1) 11" xfId="3058" xr:uid="{00000000-0005-0000-0000-0000CF0E0000}"/>
    <cellStyle name="PrePop Units (1) 12" xfId="3059" xr:uid="{00000000-0005-0000-0000-0000D00E0000}"/>
    <cellStyle name="PrePop Units (1) 13" xfId="3060" xr:uid="{00000000-0005-0000-0000-0000D10E0000}"/>
    <cellStyle name="PrePop Units (1) 14" xfId="3061" xr:uid="{00000000-0005-0000-0000-0000D20E0000}"/>
    <cellStyle name="PrePop Units (1) 15" xfId="3062" xr:uid="{00000000-0005-0000-0000-0000D30E0000}"/>
    <cellStyle name="PrePop Units (1) 16" xfId="3063" xr:uid="{00000000-0005-0000-0000-0000D40E0000}"/>
    <cellStyle name="PrePop Units (1) 2" xfId="3064" xr:uid="{00000000-0005-0000-0000-0000D50E0000}"/>
    <cellStyle name="PrePop Units (1) 3" xfId="3065" xr:uid="{00000000-0005-0000-0000-0000D60E0000}"/>
    <cellStyle name="PrePop Units (1) 4" xfId="3066" xr:uid="{00000000-0005-0000-0000-0000D70E0000}"/>
    <cellStyle name="PrePop Units (1) 5" xfId="3067" xr:uid="{00000000-0005-0000-0000-0000D80E0000}"/>
    <cellStyle name="PrePop Units (1) 6" xfId="3068" xr:uid="{00000000-0005-0000-0000-0000D90E0000}"/>
    <cellStyle name="PrePop Units (1) 7" xfId="3069" xr:uid="{00000000-0005-0000-0000-0000DA0E0000}"/>
    <cellStyle name="PrePop Units (1) 8" xfId="3070" xr:uid="{00000000-0005-0000-0000-0000DB0E0000}"/>
    <cellStyle name="PrePop Units (1) 9" xfId="3071" xr:uid="{00000000-0005-0000-0000-0000DC0E0000}"/>
    <cellStyle name="PrePop Units (2)" xfId="3072" xr:uid="{00000000-0005-0000-0000-0000DD0E0000}"/>
    <cellStyle name="PrePop Units (2) 10" xfId="3073" xr:uid="{00000000-0005-0000-0000-0000DE0E0000}"/>
    <cellStyle name="PrePop Units (2) 11" xfId="3074" xr:uid="{00000000-0005-0000-0000-0000DF0E0000}"/>
    <cellStyle name="PrePop Units (2) 12" xfId="3075" xr:uid="{00000000-0005-0000-0000-0000E00E0000}"/>
    <cellStyle name="PrePop Units (2) 13" xfId="3076" xr:uid="{00000000-0005-0000-0000-0000E10E0000}"/>
    <cellStyle name="PrePop Units (2) 14" xfId="3077" xr:uid="{00000000-0005-0000-0000-0000E20E0000}"/>
    <cellStyle name="PrePop Units (2) 15" xfId="3078" xr:uid="{00000000-0005-0000-0000-0000E30E0000}"/>
    <cellStyle name="PrePop Units (2) 16" xfId="3079" xr:uid="{00000000-0005-0000-0000-0000E40E0000}"/>
    <cellStyle name="PrePop Units (2) 2" xfId="3080" xr:uid="{00000000-0005-0000-0000-0000E50E0000}"/>
    <cellStyle name="PrePop Units (2) 3" xfId="3081" xr:uid="{00000000-0005-0000-0000-0000E60E0000}"/>
    <cellStyle name="PrePop Units (2) 4" xfId="3082" xr:uid="{00000000-0005-0000-0000-0000E70E0000}"/>
    <cellStyle name="PrePop Units (2) 5" xfId="3083" xr:uid="{00000000-0005-0000-0000-0000E80E0000}"/>
    <cellStyle name="PrePop Units (2) 6" xfId="3084" xr:uid="{00000000-0005-0000-0000-0000E90E0000}"/>
    <cellStyle name="PrePop Units (2) 7" xfId="3085" xr:uid="{00000000-0005-0000-0000-0000EA0E0000}"/>
    <cellStyle name="PrePop Units (2) 8" xfId="3086" xr:uid="{00000000-0005-0000-0000-0000EB0E0000}"/>
    <cellStyle name="PrePop Units (2) 9" xfId="3087" xr:uid="{00000000-0005-0000-0000-0000EC0E0000}"/>
    <cellStyle name="pricing" xfId="3088" xr:uid="{00000000-0005-0000-0000-0000ED0E0000}"/>
    <cellStyle name="pricing 2" xfId="3089" xr:uid="{00000000-0005-0000-0000-0000EE0E0000}"/>
    <cellStyle name="PSChar" xfId="3090" xr:uid="{00000000-0005-0000-0000-0000EF0E0000}"/>
    <cellStyle name="PSHeading" xfId="3091" xr:uid="{00000000-0005-0000-0000-0000F00E0000}"/>
    <cellStyle name="Quantity" xfId="3092" xr:uid="{00000000-0005-0000-0000-0000F10E0000}"/>
    <cellStyle name="regstoresfromspecstores" xfId="3093" xr:uid="{00000000-0005-0000-0000-0000F20E0000}"/>
    <cellStyle name="regstoresfromspecstores 2" xfId="3094" xr:uid="{00000000-0005-0000-0000-0000F30E0000}"/>
    <cellStyle name="RevList" xfId="3095" xr:uid="{00000000-0005-0000-0000-0000F40E0000}"/>
    <cellStyle name="rlink_tiªn l­în_x005f_x001b_Hyperlink_TONG HOP KINH PHI" xfId="3096" xr:uid="{00000000-0005-0000-0000-0000F50E0000}"/>
    <cellStyle name="rmal_ADAdot" xfId="3097" xr:uid="{00000000-0005-0000-0000-0000F60E0000}"/>
    <cellStyle name="S—_x0008_" xfId="3098" xr:uid="{00000000-0005-0000-0000-0000F70E0000}"/>
    <cellStyle name="S—_x0008_ 2" xfId="3099" xr:uid="{00000000-0005-0000-0000-0000F80E0000}"/>
    <cellStyle name="S—_x0008_ 3" xfId="4990" xr:uid="{00000000-0005-0000-0000-0000F90E0000}"/>
    <cellStyle name="s]_x000a__x000a_spooler=yes_x000a__x000a_load=_x000a__x000a_Beep=yes_x000a__x000a_NullPort=None_x000a__x000a_BorderWidth=3_x000a__x000a_CursorBlinkRate=1200_x000a__x000a_DoubleClickSpeed=452_x000a__x000a_Programs=co" xfId="3100" xr:uid="{00000000-0005-0000-0000-0000FA0E0000}"/>
    <cellStyle name="s]_x000d__x000a_spooler=yes_x000d__x000a_load=_x000d__x000a_Beep=yes_x000d__x000a_NullPort=None_x000d__x000a_BorderWidth=3_x000d__x000a_CursorBlinkRate=1200_x000d__x000a_DoubleClickSpeed=452_x000d__x000a_Programs=co" xfId="3101" xr:uid="{00000000-0005-0000-0000-0000FB0E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xr:uid="{00000000-0005-0000-0000-0000FC0E0000}"/>
    <cellStyle name="S—_x0008__KH TPCP vung TNB (03-1-2012)" xfId="3103" xr:uid="{00000000-0005-0000-0000-0000FD0E0000}"/>
    <cellStyle name="S—_x005f_x0008_" xfId="3104" xr:uid="{00000000-0005-0000-0000-0000FE0E0000}"/>
    <cellStyle name="SAPBEXaggData" xfId="3105" xr:uid="{00000000-0005-0000-0000-0000FF0E0000}"/>
    <cellStyle name="SAPBEXaggData 2" xfId="3106" xr:uid="{00000000-0005-0000-0000-0000000F0000}"/>
    <cellStyle name="SAPBEXaggDataEmph" xfId="3107" xr:uid="{00000000-0005-0000-0000-0000010F0000}"/>
    <cellStyle name="SAPBEXaggDataEmph 2" xfId="3108" xr:uid="{00000000-0005-0000-0000-0000020F0000}"/>
    <cellStyle name="SAPBEXaggItem" xfId="3109" xr:uid="{00000000-0005-0000-0000-0000030F0000}"/>
    <cellStyle name="SAPBEXaggItem 2" xfId="3110" xr:uid="{00000000-0005-0000-0000-0000040F0000}"/>
    <cellStyle name="SAPBEXchaText" xfId="3111" xr:uid="{00000000-0005-0000-0000-0000050F0000}"/>
    <cellStyle name="SAPBEXchaText 2" xfId="3112" xr:uid="{00000000-0005-0000-0000-0000060F0000}"/>
    <cellStyle name="SAPBEXexcBad7" xfId="3113" xr:uid="{00000000-0005-0000-0000-0000070F0000}"/>
    <cellStyle name="SAPBEXexcBad7 2" xfId="3114" xr:uid="{00000000-0005-0000-0000-0000080F0000}"/>
    <cellStyle name="SAPBEXexcBad8" xfId="3115" xr:uid="{00000000-0005-0000-0000-0000090F0000}"/>
    <cellStyle name="SAPBEXexcBad8 2" xfId="3116" xr:uid="{00000000-0005-0000-0000-00000A0F0000}"/>
    <cellStyle name="SAPBEXexcBad9" xfId="3117" xr:uid="{00000000-0005-0000-0000-00000B0F0000}"/>
    <cellStyle name="SAPBEXexcBad9 2" xfId="3118" xr:uid="{00000000-0005-0000-0000-00000C0F0000}"/>
    <cellStyle name="SAPBEXexcCritical4" xfId="3119" xr:uid="{00000000-0005-0000-0000-00000D0F0000}"/>
    <cellStyle name="SAPBEXexcCritical4 2" xfId="3120" xr:uid="{00000000-0005-0000-0000-00000E0F0000}"/>
    <cellStyle name="SAPBEXexcCritical5" xfId="3121" xr:uid="{00000000-0005-0000-0000-00000F0F0000}"/>
    <cellStyle name="SAPBEXexcCritical5 2" xfId="3122" xr:uid="{00000000-0005-0000-0000-0000100F0000}"/>
    <cellStyle name="SAPBEXexcCritical6" xfId="3123" xr:uid="{00000000-0005-0000-0000-0000110F0000}"/>
    <cellStyle name="SAPBEXexcCritical6 2" xfId="3124" xr:uid="{00000000-0005-0000-0000-0000120F0000}"/>
    <cellStyle name="SAPBEXexcGood1" xfId="3125" xr:uid="{00000000-0005-0000-0000-0000130F0000}"/>
    <cellStyle name="SAPBEXexcGood1 2" xfId="3126" xr:uid="{00000000-0005-0000-0000-0000140F0000}"/>
    <cellStyle name="SAPBEXexcGood2" xfId="3127" xr:uid="{00000000-0005-0000-0000-0000150F0000}"/>
    <cellStyle name="SAPBEXexcGood2 2" xfId="3128" xr:uid="{00000000-0005-0000-0000-0000160F0000}"/>
    <cellStyle name="SAPBEXexcGood3" xfId="3129" xr:uid="{00000000-0005-0000-0000-0000170F0000}"/>
    <cellStyle name="SAPBEXexcGood3 2" xfId="3130" xr:uid="{00000000-0005-0000-0000-0000180F0000}"/>
    <cellStyle name="SAPBEXfilterDrill" xfId="3131" xr:uid="{00000000-0005-0000-0000-0000190F0000}"/>
    <cellStyle name="SAPBEXfilterDrill 2" xfId="3132" xr:uid="{00000000-0005-0000-0000-00001A0F0000}"/>
    <cellStyle name="SAPBEXfilterItem" xfId="3133" xr:uid="{00000000-0005-0000-0000-00001B0F0000}"/>
    <cellStyle name="SAPBEXfilterItem 2" xfId="3134" xr:uid="{00000000-0005-0000-0000-00001C0F0000}"/>
    <cellStyle name="SAPBEXfilterText" xfId="3135" xr:uid="{00000000-0005-0000-0000-00001D0F0000}"/>
    <cellStyle name="SAPBEXfilterText 2" xfId="3136" xr:uid="{00000000-0005-0000-0000-00001E0F0000}"/>
    <cellStyle name="SAPBEXformats" xfId="3137" xr:uid="{00000000-0005-0000-0000-00001F0F0000}"/>
    <cellStyle name="SAPBEXformats 2" xfId="3138" xr:uid="{00000000-0005-0000-0000-0000200F0000}"/>
    <cellStyle name="SAPBEXheaderItem" xfId="3139" xr:uid="{00000000-0005-0000-0000-0000210F0000}"/>
    <cellStyle name="SAPBEXheaderItem 2" xfId="3140" xr:uid="{00000000-0005-0000-0000-0000220F0000}"/>
    <cellStyle name="SAPBEXheaderText" xfId="3141" xr:uid="{00000000-0005-0000-0000-0000230F0000}"/>
    <cellStyle name="SAPBEXheaderText 2" xfId="3142" xr:uid="{00000000-0005-0000-0000-0000240F0000}"/>
    <cellStyle name="SAPBEXresData" xfId="3143" xr:uid="{00000000-0005-0000-0000-0000250F0000}"/>
    <cellStyle name="SAPBEXresData 2" xfId="3144" xr:uid="{00000000-0005-0000-0000-0000260F0000}"/>
    <cellStyle name="SAPBEXresDataEmph" xfId="3145" xr:uid="{00000000-0005-0000-0000-0000270F0000}"/>
    <cellStyle name="SAPBEXresDataEmph 2" xfId="3146" xr:uid="{00000000-0005-0000-0000-0000280F0000}"/>
    <cellStyle name="SAPBEXresItem" xfId="3147" xr:uid="{00000000-0005-0000-0000-0000290F0000}"/>
    <cellStyle name="SAPBEXresItem 2" xfId="3148" xr:uid="{00000000-0005-0000-0000-00002A0F0000}"/>
    <cellStyle name="SAPBEXstdData" xfId="3149" xr:uid="{00000000-0005-0000-0000-00002B0F0000}"/>
    <cellStyle name="SAPBEXstdData 2" xfId="3150" xr:uid="{00000000-0005-0000-0000-00002C0F0000}"/>
    <cellStyle name="SAPBEXstdDataEmph" xfId="3151" xr:uid="{00000000-0005-0000-0000-00002D0F0000}"/>
    <cellStyle name="SAPBEXstdDataEmph 2" xfId="3152" xr:uid="{00000000-0005-0000-0000-00002E0F0000}"/>
    <cellStyle name="SAPBEXstdItem" xfId="3153" xr:uid="{00000000-0005-0000-0000-00002F0F0000}"/>
    <cellStyle name="SAPBEXstdItem 2" xfId="3154" xr:uid="{00000000-0005-0000-0000-0000300F0000}"/>
    <cellStyle name="SAPBEXtitle" xfId="3155" xr:uid="{00000000-0005-0000-0000-0000310F0000}"/>
    <cellStyle name="SAPBEXtitle 2" xfId="3156" xr:uid="{00000000-0005-0000-0000-0000320F0000}"/>
    <cellStyle name="SAPBEXundefined" xfId="3157" xr:uid="{00000000-0005-0000-0000-0000330F0000}"/>
    <cellStyle name="SAPBEXundefined 2" xfId="3158" xr:uid="{00000000-0005-0000-0000-0000340F0000}"/>
    <cellStyle name="serJet 1200 Series PCL 6" xfId="3159" xr:uid="{00000000-0005-0000-0000-0000350F0000}"/>
    <cellStyle name="SHADEDSTORES" xfId="3160" xr:uid="{00000000-0005-0000-0000-0000360F0000}"/>
    <cellStyle name="SHADEDSTORES 2" xfId="3161" xr:uid="{00000000-0005-0000-0000-0000370F0000}"/>
    <cellStyle name="songuyen" xfId="3162" xr:uid="{00000000-0005-0000-0000-0000380F0000}"/>
    <cellStyle name="specstores" xfId="3163" xr:uid="{00000000-0005-0000-0000-0000390F0000}"/>
    <cellStyle name="Standard_AAbgleich" xfId="3164" xr:uid="{00000000-0005-0000-0000-00003A0F0000}"/>
    <cellStyle name="STTDG" xfId="3165" xr:uid="{00000000-0005-0000-0000-00003B0F0000}"/>
    <cellStyle name="Style 1" xfId="3166" xr:uid="{00000000-0005-0000-0000-00003C0F0000}"/>
    <cellStyle name="Style 1 2" xfId="3167" xr:uid="{00000000-0005-0000-0000-00003D0F0000}"/>
    <cellStyle name="Style 1 3" xfId="3168" xr:uid="{00000000-0005-0000-0000-00003E0F0000}"/>
    <cellStyle name="Style 1 4" xfId="4262" xr:uid="{00000000-0005-0000-0000-00003F0F0000}"/>
    <cellStyle name="Style 1 5" xfId="4991" xr:uid="{00000000-0005-0000-0000-0000400F0000}"/>
    <cellStyle name="Style 1 6" xfId="4992" xr:uid="{00000000-0005-0000-0000-0000410F0000}"/>
    <cellStyle name="Style 10" xfId="3169" xr:uid="{00000000-0005-0000-0000-0000420F0000}"/>
    <cellStyle name="Style 10 2" xfId="3170" xr:uid="{00000000-0005-0000-0000-0000430F0000}"/>
    <cellStyle name="Style 100" xfId="3171" xr:uid="{00000000-0005-0000-0000-0000440F0000}"/>
    <cellStyle name="Style 101" xfId="3172" xr:uid="{00000000-0005-0000-0000-0000450F0000}"/>
    <cellStyle name="Style 102" xfId="3173" xr:uid="{00000000-0005-0000-0000-0000460F0000}"/>
    <cellStyle name="Style 102 2" xfId="4993" xr:uid="{00000000-0005-0000-0000-0000470F0000}"/>
    <cellStyle name="Style 103" xfId="3174" xr:uid="{00000000-0005-0000-0000-0000480F0000}"/>
    <cellStyle name="Style 104" xfId="3175" xr:uid="{00000000-0005-0000-0000-0000490F0000}"/>
    <cellStyle name="Style 105" xfId="3176" xr:uid="{00000000-0005-0000-0000-00004A0F0000}"/>
    <cellStyle name="Style 106" xfId="3177" xr:uid="{00000000-0005-0000-0000-00004B0F0000}"/>
    <cellStyle name="Style 107" xfId="3178" xr:uid="{00000000-0005-0000-0000-00004C0F0000}"/>
    <cellStyle name="Style 108" xfId="3179" xr:uid="{00000000-0005-0000-0000-00004D0F0000}"/>
    <cellStyle name="Style 108 2" xfId="4994" xr:uid="{00000000-0005-0000-0000-00004E0F0000}"/>
    <cellStyle name="Style 109" xfId="3180" xr:uid="{00000000-0005-0000-0000-00004F0F0000}"/>
    <cellStyle name="Style 109 2" xfId="4995" xr:uid="{00000000-0005-0000-0000-0000500F0000}"/>
    <cellStyle name="Style 11" xfId="3181" xr:uid="{00000000-0005-0000-0000-0000510F0000}"/>
    <cellStyle name="Style 11 2" xfId="3182" xr:uid="{00000000-0005-0000-0000-0000520F0000}"/>
    <cellStyle name="Style 110" xfId="3183" xr:uid="{00000000-0005-0000-0000-0000530F0000}"/>
    <cellStyle name="Style 111" xfId="3184" xr:uid="{00000000-0005-0000-0000-0000540F0000}"/>
    <cellStyle name="Style 112" xfId="3185" xr:uid="{00000000-0005-0000-0000-0000550F0000}"/>
    <cellStyle name="Style 113" xfId="3186" xr:uid="{00000000-0005-0000-0000-0000560F0000}"/>
    <cellStyle name="Style 114" xfId="3187" xr:uid="{00000000-0005-0000-0000-0000570F0000}"/>
    <cellStyle name="Style 115" xfId="3188" xr:uid="{00000000-0005-0000-0000-0000580F0000}"/>
    <cellStyle name="Style 116" xfId="3189" xr:uid="{00000000-0005-0000-0000-0000590F0000}"/>
    <cellStyle name="Style 117" xfId="3190" xr:uid="{00000000-0005-0000-0000-00005A0F0000}"/>
    <cellStyle name="Style 118" xfId="3191" xr:uid="{00000000-0005-0000-0000-00005B0F0000}"/>
    <cellStyle name="Style 119" xfId="3192" xr:uid="{00000000-0005-0000-0000-00005C0F0000}"/>
    <cellStyle name="Style 12" xfId="3193" xr:uid="{00000000-0005-0000-0000-00005D0F0000}"/>
    <cellStyle name="Style 12 2" xfId="3194" xr:uid="{00000000-0005-0000-0000-00005E0F0000}"/>
    <cellStyle name="Style 120" xfId="3195" xr:uid="{00000000-0005-0000-0000-00005F0F0000}"/>
    <cellStyle name="Style 121" xfId="3196" xr:uid="{00000000-0005-0000-0000-0000600F0000}"/>
    <cellStyle name="Style 122" xfId="3197" xr:uid="{00000000-0005-0000-0000-0000610F0000}"/>
    <cellStyle name="Style 123" xfId="3198" xr:uid="{00000000-0005-0000-0000-0000620F0000}"/>
    <cellStyle name="Style 124" xfId="3199" xr:uid="{00000000-0005-0000-0000-0000630F0000}"/>
    <cellStyle name="Style 125" xfId="3200" xr:uid="{00000000-0005-0000-0000-0000640F0000}"/>
    <cellStyle name="Style 126" xfId="3201" xr:uid="{00000000-0005-0000-0000-0000650F0000}"/>
    <cellStyle name="Style 127" xfId="3202" xr:uid="{00000000-0005-0000-0000-0000660F0000}"/>
    <cellStyle name="Style 128" xfId="3203" xr:uid="{00000000-0005-0000-0000-0000670F0000}"/>
    <cellStyle name="Style 129" xfId="3204" xr:uid="{00000000-0005-0000-0000-0000680F0000}"/>
    <cellStyle name="Style 13" xfId="3205" xr:uid="{00000000-0005-0000-0000-0000690F0000}"/>
    <cellStyle name="Style 13 2" xfId="3206" xr:uid="{00000000-0005-0000-0000-00006A0F0000}"/>
    <cellStyle name="Style 130" xfId="3207" xr:uid="{00000000-0005-0000-0000-00006B0F0000}"/>
    <cellStyle name="Style 131" xfId="3208" xr:uid="{00000000-0005-0000-0000-00006C0F0000}"/>
    <cellStyle name="Style 132" xfId="3209" xr:uid="{00000000-0005-0000-0000-00006D0F0000}"/>
    <cellStyle name="Style 133" xfId="3210" xr:uid="{00000000-0005-0000-0000-00006E0F0000}"/>
    <cellStyle name="Style 134" xfId="3211" xr:uid="{00000000-0005-0000-0000-00006F0F0000}"/>
    <cellStyle name="Style 135" xfId="3212" xr:uid="{00000000-0005-0000-0000-0000700F0000}"/>
    <cellStyle name="Style 136" xfId="3213" xr:uid="{00000000-0005-0000-0000-0000710F0000}"/>
    <cellStyle name="Style 137" xfId="3214" xr:uid="{00000000-0005-0000-0000-0000720F0000}"/>
    <cellStyle name="Style 138" xfId="3215" xr:uid="{00000000-0005-0000-0000-0000730F0000}"/>
    <cellStyle name="Style 139" xfId="3216" xr:uid="{00000000-0005-0000-0000-0000740F0000}"/>
    <cellStyle name="Style 14" xfId="3217" xr:uid="{00000000-0005-0000-0000-0000750F0000}"/>
    <cellStyle name="Style 14 2" xfId="3218" xr:uid="{00000000-0005-0000-0000-0000760F0000}"/>
    <cellStyle name="Style 140" xfId="3219" xr:uid="{00000000-0005-0000-0000-0000770F0000}"/>
    <cellStyle name="Style 141" xfId="3220" xr:uid="{00000000-0005-0000-0000-0000780F0000}"/>
    <cellStyle name="Style 142" xfId="3221" xr:uid="{00000000-0005-0000-0000-0000790F0000}"/>
    <cellStyle name="Style 143" xfId="3222" xr:uid="{00000000-0005-0000-0000-00007A0F0000}"/>
    <cellStyle name="Style 144" xfId="3223" xr:uid="{00000000-0005-0000-0000-00007B0F0000}"/>
    <cellStyle name="Style 145" xfId="3224" xr:uid="{00000000-0005-0000-0000-00007C0F0000}"/>
    <cellStyle name="Style 146" xfId="3225" xr:uid="{00000000-0005-0000-0000-00007D0F0000}"/>
    <cellStyle name="Style 147" xfId="3226" xr:uid="{00000000-0005-0000-0000-00007E0F0000}"/>
    <cellStyle name="Style 148" xfId="3227" xr:uid="{00000000-0005-0000-0000-00007F0F0000}"/>
    <cellStyle name="Style 149" xfId="3228" xr:uid="{00000000-0005-0000-0000-0000800F0000}"/>
    <cellStyle name="Style 15" xfId="3229" xr:uid="{00000000-0005-0000-0000-0000810F0000}"/>
    <cellStyle name="Style 15 2" xfId="3230" xr:uid="{00000000-0005-0000-0000-0000820F0000}"/>
    <cellStyle name="Style 150" xfId="3231" xr:uid="{00000000-0005-0000-0000-0000830F0000}"/>
    <cellStyle name="Style 151" xfId="3232" xr:uid="{00000000-0005-0000-0000-0000840F0000}"/>
    <cellStyle name="Style 152" xfId="3233" xr:uid="{00000000-0005-0000-0000-0000850F0000}"/>
    <cellStyle name="Style 153" xfId="3234" xr:uid="{00000000-0005-0000-0000-0000860F0000}"/>
    <cellStyle name="Style 154" xfId="3235" xr:uid="{00000000-0005-0000-0000-0000870F0000}"/>
    <cellStyle name="Style 155" xfId="3236" xr:uid="{00000000-0005-0000-0000-0000880F0000}"/>
    <cellStyle name="Style 16" xfId="3237" xr:uid="{00000000-0005-0000-0000-0000890F0000}"/>
    <cellStyle name="Style 16 2" xfId="3238" xr:uid="{00000000-0005-0000-0000-00008A0F0000}"/>
    <cellStyle name="Style 16 3" xfId="4996" xr:uid="{00000000-0005-0000-0000-00008B0F0000}"/>
    <cellStyle name="Style 17" xfId="3239" xr:uid="{00000000-0005-0000-0000-00008C0F0000}"/>
    <cellStyle name="Style 17 2" xfId="3240" xr:uid="{00000000-0005-0000-0000-00008D0F0000}"/>
    <cellStyle name="Style 17 3" xfId="4997" xr:uid="{00000000-0005-0000-0000-00008E0F0000}"/>
    <cellStyle name="Style 18" xfId="3241" xr:uid="{00000000-0005-0000-0000-00008F0F0000}"/>
    <cellStyle name="Style 18 2" xfId="3242" xr:uid="{00000000-0005-0000-0000-0000900F0000}"/>
    <cellStyle name="Style 18 3" xfId="4998" xr:uid="{00000000-0005-0000-0000-0000910F0000}"/>
    <cellStyle name="Style 19" xfId="3243" xr:uid="{00000000-0005-0000-0000-0000920F0000}"/>
    <cellStyle name="Style 19 2" xfId="3244" xr:uid="{00000000-0005-0000-0000-0000930F0000}"/>
    <cellStyle name="Style 2" xfId="3245" xr:uid="{00000000-0005-0000-0000-0000940F0000}"/>
    <cellStyle name="Style 2 2" xfId="3246" xr:uid="{00000000-0005-0000-0000-0000950F0000}"/>
    <cellStyle name="Style 2 3" xfId="4999" xr:uid="{00000000-0005-0000-0000-0000960F0000}"/>
    <cellStyle name="Style 20" xfId="3247" xr:uid="{00000000-0005-0000-0000-0000970F0000}"/>
    <cellStyle name="Style 20 2" xfId="3248" xr:uid="{00000000-0005-0000-0000-0000980F0000}"/>
    <cellStyle name="Style 20 3" xfId="5000" xr:uid="{00000000-0005-0000-0000-0000990F0000}"/>
    <cellStyle name="Style 21" xfId="3249" xr:uid="{00000000-0005-0000-0000-00009A0F0000}"/>
    <cellStyle name="Style 21 2" xfId="3250" xr:uid="{00000000-0005-0000-0000-00009B0F0000}"/>
    <cellStyle name="Style 21 3" xfId="5001" xr:uid="{00000000-0005-0000-0000-00009C0F0000}"/>
    <cellStyle name="Style 22" xfId="3251" xr:uid="{00000000-0005-0000-0000-00009D0F0000}"/>
    <cellStyle name="Style 22 2" xfId="3252" xr:uid="{00000000-0005-0000-0000-00009E0F0000}"/>
    <cellStyle name="Style 22 3" xfId="5002" xr:uid="{00000000-0005-0000-0000-00009F0F0000}"/>
    <cellStyle name="Style 23" xfId="3253" xr:uid="{00000000-0005-0000-0000-0000A00F0000}"/>
    <cellStyle name="Style 23 2" xfId="3254" xr:uid="{00000000-0005-0000-0000-0000A10F0000}"/>
    <cellStyle name="Style 23 3" xfId="5003" xr:uid="{00000000-0005-0000-0000-0000A20F0000}"/>
    <cellStyle name="Style 24" xfId="3255" xr:uid="{00000000-0005-0000-0000-0000A30F0000}"/>
    <cellStyle name="Style 24 2" xfId="3256" xr:uid="{00000000-0005-0000-0000-0000A40F0000}"/>
    <cellStyle name="Style 25" xfId="3257" xr:uid="{00000000-0005-0000-0000-0000A50F0000}"/>
    <cellStyle name="Style 25 2" xfId="3258" xr:uid="{00000000-0005-0000-0000-0000A60F0000}"/>
    <cellStyle name="Style 26" xfId="3259" xr:uid="{00000000-0005-0000-0000-0000A70F0000}"/>
    <cellStyle name="Style 26 2" xfId="3260" xr:uid="{00000000-0005-0000-0000-0000A80F0000}"/>
    <cellStyle name="Style 27" xfId="3261" xr:uid="{00000000-0005-0000-0000-0000A90F0000}"/>
    <cellStyle name="Style 27 2" xfId="3262" xr:uid="{00000000-0005-0000-0000-0000AA0F0000}"/>
    <cellStyle name="Style 28" xfId="3263" xr:uid="{00000000-0005-0000-0000-0000AB0F0000}"/>
    <cellStyle name="Style 28 2" xfId="3264" xr:uid="{00000000-0005-0000-0000-0000AC0F0000}"/>
    <cellStyle name="Style 29" xfId="3265" xr:uid="{00000000-0005-0000-0000-0000AD0F0000}"/>
    <cellStyle name="Style 29 2" xfId="3266" xr:uid="{00000000-0005-0000-0000-0000AE0F0000}"/>
    <cellStyle name="Style 3" xfId="3267" xr:uid="{00000000-0005-0000-0000-0000AF0F0000}"/>
    <cellStyle name="Style 3 2" xfId="3268" xr:uid="{00000000-0005-0000-0000-0000B00F0000}"/>
    <cellStyle name="Style 3 3" xfId="5004" xr:uid="{00000000-0005-0000-0000-0000B10F0000}"/>
    <cellStyle name="Style 30" xfId="3269" xr:uid="{00000000-0005-0000-0000-0000B20F0000}"/>
    <cellStyle name="Style 30 2" xfId="3270" xr:uid="{00000000-0005-0000-0000-0000B30F0000}"/>
    <cellStyle name="Style 31" xfId="3271" xr:uid="{00000000-0005-0000-0000-0000B40F0000}"/>
    <cellStyle name="Style 31 2" xfId="3272" xr:uid="{00000000-0005-0000-0000-0000B50F0000}"/>
    <cellStyle name="Style 32" xfId="3273" xr:uid="{00000000-0005-0000-0000-0000B60F0000}"/>
    <cellStyle name="Style 32 2" xfId="3274" xr:uid="{00000000-0005-0000-0000-0000B70F0000}"/>
    <cellStyle name="Style 33" xfId="3275" xr:uid="{00000000-0005-0000-0000-0000B80F0000}"/>
    <cellStyle name="Style 33 2" xfId="3276" xr:uid="{00000000-0005-0000-0000-0000B90F0000}"/>
    <cellStyle name="Style 34" xfId="3277" xr:uid="{00000000-0005-0000-0000-0000BA0F0000}"/>
    <cellStyle name="Style 34 2" xfId="3278" xr:uid="{00000000-0005-0000-0000-0000BB0F0000}"/>
    <cellStyle name="Style 35" xfId="3279" xr:uid="{00000000-0005-0000-0000-0000BC0F0000}"/>
    <cellStyle name="Style 35 2" xfId="3280" xr:uid="{00000000-0005-0000-0000-0000BD0F0000}"/>
    <cellStyle name="Style 36" xfId="3281" xr:uid="{00000000-0005-0000-0000-0000BE0F0000}"/>
    <cellStyle name="Style 37" xfId="3282" xr:uid="{00000000-0005-0000-0000-0000BF0F0000}"/>
    <cellStyle name="Style 37 2" xfId="3283" xr:uid="{00000000-0005-0000-0000-0000C00F0000}"/>
    <cellStyle name="Style 38" xfId="3284" xr:uid="{00000000-0005-0000-0000-0000C10F0000}"/>
    <cellStyle name="Style 38 2" xfId="3285" xr:uid="{00000000-0005-0000-0000-0000C20F0000}"/>
    <cellStyle name="Style 38 3" xfId="5005" xr:uid="{00000000-0005-0000-0000-0000C30F0000}"/>
    <cellStyle name="Style 39" xfId="3286" xr:uid="{00000000-0005-0000-0000-0000C40F0000}"/>
    <cellStyle name="Style 39 2" xfId="3287" xr:uid="{00000000-0005-0000-0000-0000C50F0000}"/>
    <cellStyle name="Style 39 3" xfId="5006" xr:uid="{00000000-0005-0000-0000-0000C60F0000}"/>
    <cellStyle name="Style 4" xfId="3288" xr:uid="{00000000-0005-0000-0000-0000C70F0000}"/>
    <cellStyle name="Style 4 2" xfId="3289" xr:uid="{00000000-0005-0000-0000-0000C80F0000}"/>
    <cellStyle name="Style 4 3" xfId="5007" xr:uid="{00000000-0005-0000-0000-0000C90F0000}"/>
    <cellStyle name="Style 40" xfId="3290" xr:uid="{00000000-0005-0000-0000-0000CA0F0000}"/>
    <cellStyle name="Style 40 2" xfId="3291" xr:uid="{00000000-0005-0000-0000-0000CB0F0000}"/>
    <cellStyle name="Style 40 3" xfId="5008" xr:uid="{00000000-0005-0000-0000-0000CC0F0000}"/>
    <cellStyle name="Style 41" xfId="3292" xr:uid="{00000000-0005-0000-0000-0000CD0F0000}"/>
    <cellStyle name="Style 41 2" xfId="3293" xr:uid="{00000000-0005-0000-0000-0000CE0F0000}"/>
    <cellStyle name="Style 42" xfId="3294" xr:uid="{00000000-0005-0000-0000-0000CF0F0000}"/>
    <cellStyle name="Style 42 2" xfId="3295" xr:uid="{00000000-0005-0000-0000-0000D00F0000}"/>
    <cellStyle name="Style 43" xfId="3296" xr:uid="{00000000-0005-0000-0000-0000D10F0000}"/>
    <cellStyle name="Style 43 2" xfId="3297" xr:uid="{00000000-0005-0000-0000-0000D20F0000}"/>
    <cellStyle name="Style 44" xfId="3298" xr:uid="{00000000-0005-0000-0000-0000D30F0000}"/>
    <cellStyle name="Style 44 2" xfId="3299" xr:uid="{00000000-0005-0000-0000-0000D40F0000}"/>
    <cellStyle name="Style 45" xfId="3300" xr:uid="{00000000-0005-0000-0000-0000D50F0000}"/>
    <cellStyle name="Style 45 2" xfId="3301" xr:uid="{00000000-0005-0000-0000-0000D60F0000}"/>
    <cellStyle name="Style 45 3" xfId="5009" xr:uid="{00000000-0005-0000-0000-0000D70F0000}"/>
    <cellStyle name="Style 46" xfId="3302" xr:uid="{00000000-0005-0000-0000-0000D80F0000}"/>
    <cellStyle name="Style 46 2" xfId="3303" xr:uid="{00000000-0005-0000-0000-0000D90F0000}"/>
    <cellStyle name="Style 46 3" xfId="5010" xr:uid="{00000000-0005-0000-0000-0000DA0F0000}"/>
    <cellStyle name="Style 47" xfId="3304" xr:uid="{00000000-0005-0000-0000-0000DB0F0000}"/>
    <cellStyle name="Style 47 2" xfId="3305" xr:uid="{00000000-0005-0000-0000-0000DC0F0000}"/>
    <cellStyle name="Style 47 3" xfId="5011" xr:uid="{00000000-0005-0000-0000-0000DD0F0000}"/>
    <cellStyle name="Style 48" xfId="3306" xr:uid="{00000000-0005-0000-0000-0000DE0F0000}"/>
    <cellStyle name="Style 48 2" xfId="3307" xr:uid="{00000000-0005-0000-0000-0000DF0F0000}"/>
    <cellStyle name="Style 49" xfId="3308" xr:uid="{00000000-0005-0000-0000-0000E00F0000}"/>
    <cellStyle name="Style 49 2" xfId="3309" xr:uid="{00000000-0005-0000-0000-0000E10F0000}"/>
    <cellStyle name="Style 5" xfId="3310" xr:uid="{00000000-0005-0000-0000-0000E20F0000}"/>
    <cellStyle name="Style 50" xfId="3311" xr:uid="{00000000-0005-0000-0000-0000E30F0000}"/>
    <cellStyle name="Style 50 2" xfId="3312" xr:uid="{00000000-0005-0000-0000-0000E40F0000}"/>
    <cellStyle name="Style 51" xfId="3313" xr:uid="{00000000-0005-0000-0000-0000E50F0000}"/>
    <cellStyle name="Style 51 2" xfId="3314" xr:uid="{00000000-0005-0000-0000-0000E60F0000}"/>
    <cellStyle name="Style 52" xfId="3315" xr:uid="{00000000-0005-0000-0000-0000E70F0000}"/>
    <cellStyle name="Style 52 2" xfId="3316" xr:uid="{00000000-0005-0000-0000-0000E80F0000}"/>
    <cellStyle name="Style 53" xfId="3317" xr:uid="{00000000-0005-0000-0000-0000E90F0000}"/>
    <cellStyle name="Style 53 2" xfId="3318" xr:uid="{00000000-0005-0000-0000-0000EA0F0000}"/>
    <cellStyle name="Style 53 3" xfId="5012" xr:uid="{00000000-0005-0000-0000-0000EB0F0000}"/>
    <cellStyle name="Style 54" xfId="3319" xr:uid="{00000000-0005-0000-0000-0000EC0F0000}"/>
    <cellStyle name="Style 54 2" xfId="3320" xr:uid="{00000000-0005-0000-0000-0000ED0F0000}"/>
    <cellStyle name="Style 54 3" xfId="5013" xr:uid="{00000000-0005-0000-0000-0000EE0F0000}"/>
    <cellStyle name="Style 55" xfId="3321" xr:uid="{00000000-0005-0000-0000-0000EF0F0000}"/>
    <cellStyle name="Style 55 2" xfId="3322" xr:uid="{00000000-0005-0000-0000-0000F00F0000}"/>
    <cellStyle name="Style 56" xfId="3323" xr:uid="{00000000-0005-0000-0000-0000F10F0000}"/>
    <cellStyle name="Style 57" xfId="3324" xr:uid="{00000000-0005-0000-0000-0000F20F0000}"/>
    <cellStyle name="Style 57 2" xfId="5014" xr:uid="{00000000-0005-0000-0000-0000F30F0000}"/>
    <cellStyle name="Style 58" xfId="3325" xr:uid="{00000000-0005-0000-0000-0000F40F0000}"/>
    <cellStyle name="Style 59" xfId="3326" xr:uid="{00000000-0005-0000-0000-0000F50F0000}"/>
    <cellStyle name="Style 59 2" xfId="5015" xr:uid="{00000000-0005-0000-0000-0000F60F0000}"/>
    <cellStyle name="Style 6" xfId="3327" xr:uid="{00000000-0005-0000-0000-0000F70F0000}"/>
    <cellStyle name="Style 6 2" xfId="3328" xr:uid="{00000000-0005-0000-0000-0000F80F0000}"/>
    <cellStyle name="Style 6 3" xfId="5016" xr:uid="{00000000-0005-0000-0000-0000F90F0000}"/>
    <cellStyle name="Style 60" xfId="3329" xr:uid="{00000000-0005-0000-0000-0000FA0F0000}"/>
    <cellStyle name="Style 61" xfId="3330" xr:uid="{00000000-0005-0000-0000-0000FB0F0000}"/>
    <cellStyle name="Style 61 2" xfId="5017" xr:uid="{00000000-0005-0000-0000-0000FC0F0000}"/>
    <cellStyle name="Style 62" xfId="3331" xr:uid="{00000000-0005-0000-0000-0000FD0F0000}"/>
    <cellStyle name="Style 63" xfId="3332" xr:uid="{00000000-0005-0000-0000-0000FE0F0000}"/>
    <cellStyle name="Style 64" xfId="3333" xr:uid="{00000000-0005-0000-0000-0000FF0F0000}"/>
    <cellStyle name="Style 64 2" xfId="5018" xr:uid="{00000000-0005-0000-0000-000000100000}"/>
    <cellStyle name="Style 65" xfId="3334" xr:uid="{00000000-0005-0000-0000-000001100000}"/>
    <cellStyle name="Style 66" xfId="3335" xr:uid="{00000000-0005-0000-0000-000002100000}"/>
    <cellStyle name="Style 67" xfId="3336" xr:uid="{00000000-0005-0000-0000-000003100000}"/>
    <cellStyle name="Style 68" xfId="3337" xr:uid="{00000000-0005-0000-0000-000004100000}"/>
    <cellStyle name="Style 69" xfId="3338" xr:uid="{00000000-0005-0000-0000-000005100000}"/>
    <cellStyle name="Style 7" xfId="3339" xr:uid="{00000000-0005-0000-0000-000006100000}"/>
    <cellStyle name="Style 7 2" xfId="3340" xr:uid="{00000000-0005-0000-0000-000007100000}"/>
    <cellStyle name="Style 7 3" xfId="5019" xr:uid="{00000000-0005-0000-0000-000008100000}"/>
    <cellStyle name="Style 70" xfId="3341" xr:uid="{00000000-0005-0000-0000-000009100000}"/>
    <cellStyle name="Style 71" xfId="3342" xr:uid="{00000000-0005-0000-0000-00000A100000}"/>
    <cellStyle name="Style 72" xfId="3343" xr:uid="{00000000-0005-0000-0000-00000B100000}"/>
    <cellStyle name="Style 73" xfId="3344" xr:uid="{00000000-0005-0000-0000-00000C100000}"/>
    <cellStyle name="Style 74" xfId="3345" xr:uid="{00000000-0005-0000-0000-00000D100000}"/>
    <cellStyle name="Style 75" xfId="3346" xr:uid="{00000000-0005-0000-0000-00000E100000}"/>
    <cellStyle name="Style 75 2" xfId="5020" xr:uid="{00000000-0005-0000-0000-00000F100000}"/>
    <cellStyle name="Style 76" xfId="3347" xr:uid="{00000000-0005-0000-0000-000010100000}"/>
    <cellStyle name="Style 77" xfId="3348" xr:uid="{00000000-0005-0000-0000-000011100000}"/>
    <cellStyle name="Style 77 2" xfId="5021" xr:uid="{00000000-0005-0000-0000-000012100000}"/>
    <cellStyle name="Style 78" xfId="3349" xr:uid="{00000000-0005-0000-0000-000013100000}"/>
    <cellStyle name="Style 79" xfId="3350" xr:uid="{00000000-0005-0000-0000-000014100000}"/>
    <cellStyle name="Style 8" xfId="3351" xr:uid="{00000000-0005-0000-0000-000015100000}"/>
    <cellStyle name="Style 8 2" xfId="3352" xr:uid="{00000000-0005-0000-0000-000016100000}"/>
    <cellStyle name="Style 8 3" xfId="5022" xr:uid="{00000000-0005-0000-0000-000017100000}"/>
    <cellStyle name="Style 80" xfId="3353" xr:uid="{00000000-0005-0000-0000-000018100000}"/>
    <cellStyle name="Style 81" xfId="3354" xr:uid="{00000000-0005-0000-0000-000019100000}"/>
    <cellStyle name="Style 82" xfId="3355" xr:uid="{00000000-0005-0000-0000-00001A100000}"/>
    <cellStyle name="Style 83" xfId="3356" xr:uid="{00000000-0005-0000-0000-00001B100000}"/>
    <cellStyle name="Style 84" xfId="3357" xr:uid="{00000000-0005-0000-0000-00001C100000}"/>
    <cellStyle name="Style 85" xfId="3358" xr:uid="{00000000-0005-0000-0000-00001D100000}"/>
    <cellStyle name="Style 86" xfId="3359" xr:uid="{00000000-0005-0000-0000-00001E100000}"/>
    <cellStyle name="Style 87" xfId="3360" xr:uid="{00000000-0005-0000-0000-00001F100000}"/>
    <cellStyle name="Style 87 2" xfId="5023" xr:uid="{00000000-0005-0000-0000-000020100000}"/>
    <cellStyle name="Style 88" xfId="3361" xr:uid="{00000000-0005-0000-0000-000021100000}"/>
    <cellStyle name="Style 88 2" xfId="5024" xr:uid="{00000000-0005-0000-0000-000022100000}"/>
    <cellStyle name="Style 89" xfId="3362" xr:uid="{00000000-0005-0000-0000-000023100000}"/>
    <cellStyle name="Style 9" xfId="3363" xr:uid="{00000000-0005-0000-0000-000024100000}"/>
    <cellStyle name="Style 9 2" xfId="3364" xr:uid="{00000000-0005-0000-0000-000025100000}"/>
    <cellStyle name="Style 9 3" xfId="5025" xr:uid="{00000000-0005-0000-0000-000026100000}"/>
    <cellStyle name="Style 90" xfId="3365" xr:uid="{00000000-0005-0000-0000-000027100000}"/>
    <cellStyle name="Style 91" xfId="3366" xr:uid="{00000000-0005-0000-0000-000028100000}"/>
    <cellStyle name="Style 92" xfId="3367" xr:uid="{00000000-0005-0000-0000-000029100000}"/>
    <cellStyle name="Style 93" xfId="3368" xr:uid="{00000000-0005-0000-0000-00002A100000}"/>
    <cellStyle name="Style 93 2" xfId="5026" xr:uid="{00000000-0005-0000-0000-00002B100000}"/>
    <cellStyle name="Style 94" xfId="3369" xr:uid="{00000000-0005-0000-0000-00002C100000}"/>
    <cellStyle name="Style 95" xfId="3370" xr:uid="{00000000-0005-0000-0000-00002D100000}"/>
    <cellStyle name="Style 96" xfId="3371" xr:uid="{00000000-0005-0000-0000-00002E100000}"/>
    <cellStyle name="Style 96 2" xfId="5027" xr:uid="{00000000-0005-0000-0000-00002F100000}"/>
    <cellStyle name="Style 97" xfId="3372" xr:uid="{00000000-0005-0000-0000-000030100000}"/>
    <cellStyle name="Style 98" xfId="3373" xr:uid="{00000000-0005-0000-0000-000031100000}"/>
    <cellStyle name="Style 99" xfId="3374" xr:uid="{00000000-0005-0000-0000-000032100000}"/>
    <cellStyle name="Style 99 2" xfId="5028" xr:uid="{00000000-0005-0000-0000-000033100000}"/>
    <cellStyle name="Style Date" xfId="3375" xr:uid="{00000000-0005-0000-0000-000034100000}"/>
    <cellStyle name="Style Date 2" xfId="5029" xr:uid="{00000000-0005-0000-0000-000035100000}"/>
    <cellStyle name="style_1" xfId="3376" xr:uid="{00000000-0005-0000-0000-000036100000}"/>
    <cellStyle name="subhead" xfId="3377" xr:uid="{00000000-0005-0000-0000-000037100000}"/>
    <cellStyle name="subhead 2" xfId="3378" xr:uid="{00000000-0005-0000-0000-000038100000}"/>
    <cellStyle name="Subtotal" xfId="3379" xr:uid="{00000000-0005-0000-0000-000039100000}"/>
    <cellStyle name="symbol" xfId="3380" xr:uid="{00000000-0005-0000-0000-00003A100000}"/>
    <cellStyle name="T" xfId="3381" xr:uid="{00000000-0005-0000-0000-00003B100000}"/>
    <cellStyle name="T 2" xfId="3382" xr:uid="{00000000-0005-0000-0000-00003C100000}"/>
    <cellStyle name="T_15_10_2013 BC nhu cau von doi ung ODA (2014-2016) ngay 15102013 Sua" xfId="3383" xr:uid="{00000000-0005-0000-0000-00003D100000}"/>
    <cellStyle name="T_bao cao" xfId="3384" xr:uid="{00000000-0005-0000-0000-00003E100000}"/>
    <cellStyle name="T_bao cao 2" xfId="3385" xr:uid="{00000000-0005-0000-0000-00003F100000}"/>
    <cellStyle name="T_bao cao phan bo KHDT 2011(final)" xfId="3386" xr:uid="{00000000-0005-0000-0000-000040100000}"/>
    <cellStyle name="T_Bao cao so lieu kiem toan nam 2007 sua" xfId="3387" xr:uid="{00000000-0005-0000-0000-000041100000}"/>
    <cellStyle name="T_Bao cao so lieu kiem toan nam 2007 sua 2" xfId="3388" xr:uid="{00000000-0005-0000-0000-000042100000}"/>
    <cellStyle name="T_Bao cao so lieu kiem toan nam 2007 sua_!1 1 bao cao giao KH ve HTCMT vung TNB   12-12-2011" xfId="3389" xr:uid="{00000000-0005-0000-0000-000043100000}"/>
    <cellStyle name="T_Bao cao so lieu kiem toan nam 2007 sua_!1 1 bao cao giao KH ve HTCMT vung TNB   12-12-2011 2" xfId="3390" xr:uid="{00000000-0005-0000-0000-000044100000}"/>
    <cellStyle name="T_Bao cao so lieu kiem toan nam 2007 sua_KH TPCP vung TNB (03-1-2012)" xfId="3391" xr:uid="{00000000-0005-0000-0000-000045100000}"/>
    <cellStyle name="T_Bao cao so lieu kiem toan nam 2007 sua_KH TPCP vung TNB (03-1-2012) 2" xfId="3392" xr:uid="{00000000-0005-0000-0000-000046100000}"/>
    <cellStyle name="T_bao cao_!1 1 bao cao giao KH ve HTCMT vung TNB   12-12-2011" xfId="3393" xr:uid="{00000000-0005-0000-0000-000047100000}"/>
    <cellStyle name="T_bao cao_!1 1 bao cao giao KH ve HTCMT vung TNB   12-12-2011 2" xfId="3394" xr:uid="{00000000-0005-0000-0000-000048100000}"/>
    <cellStyle name="T_bao cao_Bieu4HTMT" xfId="3395" xr:uid="{00000000-0005-0000-0000-000049100000}"/>
    <cellStyle name="T_bao cao_Bieu4HTMT 2" xfId="3396" xr:uid="{00000000-0005-0000-0000-00004A100000}"/>
    <cellStyle name="T_bao cao_Bieu4HTMT_!1 1 bao cao giao KH ve HTCMT vung TNB   12-12-2011" xfId="3397" xr:uid="{00000000-0005-0000-0000-00004B100000}"/>
    <cellStyle name="T_bao cao_Bieu4HTMT_!1 1 bao cao giao KH ve HTCMT vung TNB   12-12-2011 2" xfId="3398" xr:uid="{00000000-0005-0000-0000-00004C100000}"/>
    <cellStyle name="T_bao cao_Bieu4HTMT_KH TPCP vung TNB (03-1-2012)" xfId="3399" xr:uid="{00000000-0005-0000-0000-00004D100000}"/>
    <cellStyle name="T_bao cao_Bieu4HTMT_KH TPCP vung TNB (03-1-2012) 2" xfId="3400" xr:uid="{00000000-0005-0000-0000-00004E100000}"/>
    <cellStyle name="T_bao cao_KH TPCP vung TNB (03-1-2012)" xfId="3401" xr:uid="{00000000-0005-0000-0000-00004F100000}"/>
    <cellStyle name="T_bao cao_KH TPCP vung TNB (03-1-2012) 2" xfId="3402" xr:uid="{00000000-0005-0000-0000-000050100000}"/>
    <cellStyle name="T_BBTNG-06" xfId="3403" xr:uid="{00000000-0005-0000-0000-000051100000}"/>
    <cellStyle name="T_BBTNG-06 2" xfId="3404" xr:uid="{00000000-0005-0000-0000-000052100000}"/>
    <cellStyle name="T_BBTNG-06_!1 1 bao cao giao KH ve HTCMT vung TNB   12-12-2011" xfId="3405" xr:uid="{00000000-0005-0000-0000-000053100000}"/>
    <cellStyle name="T_BBTNG-06_!1 1 bao cao giao KH ve HTCMT vung TNB   12-12-2011 2" xfId="3406" xr:uid="{00000000-0005-0000-0000-000054100000}"/>
    <cellStyle name="T_BBTNG-06_Bieu4HTMT" xfId="3407" xr:uid="{00000000-0005-0000-0000-000055100000}"/>
    <cellStyle name="T_BBTNG-06_Bieu4HTMT 2" xfId="3408" xr:uid="{00000000-0005-0000-0000-000056100000}"/>
    <cellStyle name="T_BBTNG-06_Bieu4HTMT_!1 1 bao cao giao KH ve HTCMT vung TNB   12-12-2011" xfId="3409" xr:uid="{00000000-0005-0000-0000-000057100000}"/>
    <cellStyle name="T_BBTNG-06_Bieu4HTMT_!1 1 bao cao giao KH ve HTCMT vung TNB   12-12-2011 2" xfId="3410" xr:uid="{00000000-0005-0000-0000-000058100000}"/>
    <cellStyle name="T_BBTNG-06_Bieu4HTMT_KH TPCP vung TNB (03-1-2012)" xfId="3411" xr:uid="{00000000-0005-0000-0000-000059100000}"/>
    <cellStyle name="T_BBTNG-06_Bieu4HTMT_KH TPCP vung TNB (03-1-2012) 2" xfId="3412" xr:uid="{00000000-0005-0000-0000-00005A100000}"/>
    <cellStyle name="T_BBTNG-06_KH TPCP vung TNB (03-1-2012)" xfId="3413" xr:uid="{00000000-0005-0000-0000-00005B100000}"/>
    <cellStyle name="T_BBTNG-06_KH TPCP vung TNB (03-1-2012) 2" xfId="3414" xr:uid="{00000000-0005-0000-0000-00005C100000}"/>
    <cellStyle name="T_BC  NAM 2007" xfId="3415" xr:uid="{00000000-0005-0000-0000-00005D100000}"/>
    <cellStyle name="T_BC  NAM 2007 2" xfId="3416" xr:uid="{00000000-0005-0000-0000-00005E100000}"/>
    <cellStyle name="T_BC CTMT-2008 Ttinh" xfId="3417" xr:uid="{00000000-0005-0000-0000-00005F100000}"/>
    <cellStyle name="T_BC CTMT-2008 Ttinh 2" xfId="3418" xr:uid="{00000000-0005-0000-0000-000060100000}"/>
    <cellStyle name="T_BC CTMT-2008 Ttinh_!1 1 bao cao giao KH ve HTCMT vung TNB   12-12-2011" xfId="3419" xr:uid="{00000000-0005-0000-0000-000061100000}"/>
    <cellStyle name="T_BC CTMT-2008 Ttinh_!1 1 bao cao giao KH ve HTCMT vung TNB   12-12-2011 2" xfId="3420" xr:uid="{00000000-0005-0000-0000-000062100000}"/>
    <cellStyle name="T_BC CTMT-2008 Ttinh_KH TPCP vung TNB (03-1-2012)" xfId="3421" xr:uid="{00000000-0005-0000-0000-000063100000}"/>
    <cellStyle name="T_BC CTMT-2008 Ttinh_KH TPCP vung TNB (03-1-2012) 2" xfId="3422" xr:uid="{00000000-0005-0000-0000-000064100000}"/>
    <cellStyle name="T_BC nhu cau von doi ung ODA nganh NN (BKH)" xfId="3423" xr:uid="{00000000-0005-0000-0000-000065100000}"/>
    <cellStyle name="T_BC nhu cau von doi ung ODA nganh NN (BKH)_05-12  KH trung han 2016-2020 - Liem Thinh edited" xfId="3424" xr:uid="{00000000-0005-0000-0000-000066100000}"/>
    <cellStyle name="T_BC nhu cau von doi ung ODA nganh NN (BKH)_Copy of 05-12  KH trung han 2016-2020 - Liem Thinh edited (1)" xfId="3425" xr:uid="{00000000-0005-0000-0000-000067100000}"/>
    <cellStyle name="T_BC Tai co cau (bieu TH)" xfId="3426" xr:uid="{00000000-0005-0000-0000-000068100000}"/>
    <cellStyle name="T_BC Tai co cau (bieu TH)_05-12  KH trung han 2016-2020 - Liem Thinh edited" xfId="3427" xr:uid="{00000000-0005-0000-0000-000069100000}"/>
    <cellStyle name="T_BC Tai co cau (bieu TH)_Copy of 05-12  KH trung han 2016-2020 - Liem Thinh edited (1)" xfId="3428" xr:uid="{00000000-0005-0000-0000-00006A100000}"/>
    <cellStyle name="T_Bieu 4.2 A, B KHCTgiong 2011" xfId="3429" xr:uid="{00000000-0005-0000-0000-00006B100000}"/>
    <cellStyle name="T_Bieu 4.2 A, B KHCTgiong 2011 10" xfId="3430" xr:uid="{00000000-0005-0000-0000-00006C100000}"/>
    <cellStyle name="T_Bieu 4.2 A, B KHCTgiong 2011 11" xfId="3431" xr:uid="{00000000-0005-0000-0000-00006D100000}"/>
    <cellStyle name="T_Bieu 4.2 A, B KHCTgiong 2011 12" xfId="3432" xr:uid="{00000000-0005-0000-0000-00006E100000}"/>
    <cellStyle name="T_Bieu 4.2 A, B KHCTgiong 2011 13" xfId="3433" xr:uid="{00000000-0005-0000-0000-00006F100000}"/>
    <cellStyle name="T_Bieu 4.2 A, B KHCTgiong 2011 14" xfId="3434" xr:uid="{00000000-0005-0000-0000-000070100000}"/>
    <cellStyle name="T_Bieu 4.2 A, B KHCTgiong 2011 15" xfId="3435" xr:uid="{00000000-0005-0000-0000-000071100000}"/>
    <cellStyle name="T_Bieu 4.2 A, B KHCTgiong 2011 2" xfId="3436" xr:uid="{00000000-0005-0000-0000-000072100000}"/>
    <cellStyle name="T_Bieu 4.2 A, B KHCTgiong 2011 3" xfId="3437" xr:uid="{00000000-0005-0000-0000-000073100000}"/>
    <cellStyle name="T_Bieu 4.2 A, B KHCTgiong 2011 4" xfId="3438" xr:uid="{00000000-0005-0000-0000-000074100000}"/>
    <cellStyle name="T_Bieu 4.2 A, B KHCTgiong 2011 5" xfId="3439" xr:uid="{00000000-0005-0000-0000-000075100000}"/>
    <cellStyle name="T_Bieu 4.2 A, B KHCTgiong 2011 6" xfId="3440" xr:uid="{00000000-0005-0000-0000-000076100000}"/>
    <cellStyle name="T_Bieu 4.2 A, B KHCTgiong 2011 7" xfId="3441" xr:uid="{00000000-0005-0000-0000-000077100000}"/>
    <cellStyle name="T_Bieu 4.2 A, B KHCTgiong 2011 8" xfId="3442" xr:uid="{00000000-0005-0000-0000-000078100000}"/>
    <cellStyle name="T_Bieu 4.2 A, B KHCTgiong 2011 9" xfId="3443" xr:uid="{00000000-0005-0000-0000-000079100000}"/>
    <cellStyle name="T_Bieu mau cong trinh khoi cong moi 3-4" xfId="3444" xr:uid="{00000000-0005-0000-0000-00007A100000}"/>
    <cellStyle name="T_Bieu mau cong trinh khoi cong moi 3-4 2" xfId="3445" xr:uid="{00000000-0005-0000-0000-00007B100000}"/>
    <cellStyle name="T_Bieu mau cong trinh khoi cong moi 3-4_!1 1 bao cao giao KH ve HTCMT vung TNB   12-12-2011" xfId="3446" xr:uid="{00000000-0005-0000-0000-00007C100000}"/>
    <cellStyle name="T_Bieu mau cong trinh khoi cong moi 3-4_!1 1 bao cao giao KH ve HTCMT vung TNB   12-12-2011 2" xfId="3447" xr:uid="{00000000-0005-0000-0000-00007D100000}"/>
    <cellStyle name="T_Bieu mau cong trinh khoi cong moi 3-4_KH TPCP vung TNB (03-1-2012)" xfId="3448" xr:uid="{00000000-0005-0000-0000-00007E100000}"/>
    <cellStyle name="T_Bieu mau cong trinh khoi cong moi 3-4_KH TPCP vung TNB (03-1-2012) 2" xfId="3449" xr:uid="{00000000-0005-0000-0000-00007F100000}"/>
    <cellStyle name="T_Bieu mau danh muc du an thuoc CTMTQG nam 2008" xfId="3450" xr:uid="{00000000-0005-0000-0000-000080100000}"/>
    <cellStyle name="T_Bieu mau danh muc du an thuoc CTMTQG nam 2008 2" xfId="3451" xr:uid="{00000000-0005-0000-0000-000081100000}"/>
    <cellStyle name="T_Bieu mau danh muc du an thuoc CTMTQG nam 2008_!1 1 bao cao giao KH ve HTCMT vung TNB   12-12-2011" xfId="3452" xr:uid="{00000000-0005-0000-0000-000082100000}"/>
    <cellStyle name="T_Bieu mau danh muc du an thuoc CTMTQG nam 2008_!1 1 bao cao giao KH ve HTCMT vung TNB   12-12-2011 2" xfId="3453" xr:uid="{00000000-0005-0000-0000-000083100000}"/>
    <cellStyle name="T_Bieu mau danh muc du an thuoc CTMTQG nam 2008_KH TPCP vung TNB (03-1-2012)" xfId="3454" xr:uid="{00000000-0005-0000-0000-000084100000}"/>
    <cellStyle name="T_Bieu mau danh muc du an thuoc CTMTQG nam 2008_KH TPCP vung TNB (03-1-2012) 2" xfId="3455" xr:uid="{00000000-0005-0000-0000-000085100000}"/>
    <cellStyle name="T_Bieu tong hop nhu cau ung 2011 da chon loc -Mien nui" xfId="3456" xr:uid="{00000000-0005-0000-0000-000086100000}"/>
    <cellStyle name="T_Bieu tong hop nhu cau ung 2011 da chon loc -Mien nui 2" xfId="3457" xr:uid="{00000000-0005-0000-0000-000087100000}"/>
    <cellStyle name="T_Bieu tong hop nhu cau ung 2011 da chon loc -Mien nui_!1 1 bao cao giao KH ve HTCMT vung TNB   12-12-2011" xfId="3458" xr:uid="{00000000-0005-0000-0000-000088100000}"/>
    <cellStyle name="T_Bieu tong hop nhu cau ung 2011 da chon loc -Mien nui_!1 1 bao cao giao KH ve HTCMT vung TNB   12-12-2011 2" xfId="3459" xr:uid="{00000000-0005-0000-0000-000089100000}"/>
    <cellStyle name="T_Bieu tong hop nhu cau ung 2011 da chon loc -Mien nui_KH TPCP vung TNB (03-1-2012)" xfId="3460" xr:uid="{00000000-0005-0000-0000-00008A100000}"/>
    <cellStyle name="T_Bieu tong hop nhu cau ung 2011 da chon loc -Mien nui_KH TPCP vung TNB (03-1-2012) 2" xfId="3461" xr:uid="{00000000-0005-0000-0000-00008B100000}"/>
    <cellStyle name="T_Bieu3ODA" xfId="3462" xr:uid="{00000000-0005-0000-0000-00008C100000}"/>
    <cellStyle name="T_Bieu3ODA 2" xfId="3463" xr:uid="{00000000-0005-0000-0000-00008D100000}"/>
    <cellStyle name="T_Bieu3ODA_!1 1 bao cao giao KH ve HTCMT vung TNB   12-12-2011" xfId="3464" xr:uid="{00000000-0005-0000-0000-00008E100000}"/>
    <cellStyle name="T_Bieu3ODA_!1 1 bao cao giao KH ve HTCMT vung TNB   12-12-2011 2" xfId="3465" xr:uid="{00000000-0005-0000-0000-00008F100000}"/>
    <cellStyle name="T_Bieu3ODA_1" xfId="3466" xr:uid="{00000000-0005-0000-0000-000090100000}"/>
    <cellStyle name="T_Bieu3ODA_1 2" xfId="3467" xr:uid="{00000000-0005-0000-0000-000091100000}"/>
    <cellStyle name="T_Bieu3ODA_1_!1 1 bao cao giao KH ve HTCMT vung TNB   12-12-2011" xfId="3468" xr:uid="{00000000-0005-0000-0000-000092100000}"/>
    <cellStyle name="T_Bieu3ODA_1_!1 1 bao cao giao KH ve HTCMT vung TNB   12-12-2011 2" xfId="3469" xr:uid="{00000000-0005-0000-0000-000093100000}"/>
    <cellStyle name="T_Bieu3ODA_1_KH TPCP vung TNB (03-1-2012)" xfId="3470" xr:uid="{00000000-0005-0000-0000-000094100000}"/>
    <cellStyle name="T_Bieu3ODA_1_KH TPCP vung TNB (03-1-2012) 2" xfId="3471" xr:uid="{00000000-0005-0000-0000-000095100000}"/>
    <cellStyle name="T_Bieu3ODA_KH TPCP vung TNB (03-1-2012)" xfId="3472" xr:uid="{00000000-0005-0000-0000-000096100000}"/>
    <cellStyle name="T_Bieu3ODA_KH TPCP vung TNB (03-1-2012) 2" xfId="3473" xr:uid="{00000000-0005-0000-0000-000097100000}"/>
    <cellStyle name="T_Bieu4HTMT" xfId="3474" xr:uid="{00000000-0005-0000-0000-000098100000}"/>
    <cellStyle name="T_Bieu4HTMT 2" xfId="3475" xr:uid="{00000000-0005-0000-0000-000099100000}"/>
    <cellStyle name="T_Bieu4HTMT_!1 1 bao cao giao KH ve HTCMT vung TNB   12-12-2011" xfId="3476" xr:uid="{00000000-0005-0000-0000-00009A100000}"/>
    <cellStyle name="T_Bieu4HTMT_!1 1 bao cao giao KH ve HTCMT vung TNB   12-12-2011 2" xfId="3477" xr:uid="{00000000-0005-0000-0000-00009B100000}"/>
    <cellStyle name="T_Bieu4HTMT_KH TPCP vung TNB (03-1-2012)" xfId="3478" xr:uid="{00000000-0005-0000-0000-00009C100000}"/>
    <cellStyle name="T_Bieu4HTMT_KH TPCP vung TNB (03-1-2012) 2" xfId="3479" xr:uid="{00000000-0005-0000-0000-00009D100000}"/>
    <cellStyle name="T_bo sung von KCH nam 2010 va Du an tre kho khan" xfId="3480" xr:uid="{00000000-0005-0000-0000-00009E100000}"/>
    <cellStyle name="T_bo sung von KCH nam 2010 va Du an tre kho khan 2" xfId="3481" xr:uid="{00000000-0005-0000-0000-00009F100000}"/>
    <cellStyle name="T_bo sung von KCH nam 2010 va Du an tre kho khan_!1 1 bao cao giao KH ve HTCMT vung TNB   12-12-2011" xfId="3482" xr:uid="{00000000-0005-0000-0000-0000A0100000}"/>
    <cellStyle name="T_bo sung von KCH nam 2010 va Du an tre kho khan_!1 1 bao cao giao KH ve HTCMT vung TNB   12-12-2011 2" xfId="3483" xr:uid="{00000000-0005-0000-0000-0000A1100000}"/>
    <cellStyle name="T_bo sung von KCH nam 2010 va Du an tre kho khan_KH TPCP vung TNB (03-1-2012)" xfId="3484" xr:uid="{00000000-0005-0000-0000-0000A2100000}"/>
    <cellStyle name="T_bo sung von KCH nam 2010 va Du an tre kho khan_KH TPCP vung TNB (03-1-2012) 2" xfId="3485" xr:uid="{00000000-0005-0000-0000-0000A3100000}"/>
    <cellStyle name="T_Book1" xfId="3486" xr:uid="{00000000-0005-0000-0000-0000A4100000}"/>
    <cellStyle name="T_Book1 2" xfId="3487" xr:uid="{00000000-0005-0000-0000-0000A5100000}"/>
    <cellStyle name="T_Book1 3" xfId="3488" xr:uid="{00000000-0005-0000-0000-0000A6100000}"/>
    <cellStyle name="T_Book1_!1 1 bao cao giao KH ve HTCMT vung TNB   12-12-2011" xfId="3489" xr:uid="{00000000-0005-0000-0000-0000A7100000}"/>
    <cellStyle name="T_Book1_!1 1 bao cao giao KH ve HTCMT vung TNB   12-12-2011 2" xfId="3490" xr:uid="{00000000-0005-0000-0000-0000A8100000}"/>
    <cellStyle name="T_Book1_1" xfId="3491" xr:uid="{00000000-0005-0000-0000-0000A9100000}"/>
    <cellStyle name="T_Book1_1 2" xfId="3492" xr:uid="{00000000-0005-0000-0000-0000AA100000}"/>
    <cellStyle name="T_Book1_1_Bieu tong hop nhu cau ung 2011 da chon loc -Mien nui" xfId="3493" xr:uid="{00000000-0005-0000-0000-0000AB100000}"/>
    <cellStyle name="T_Book1_1_Bieu tong hop nhu cau ung 2011 da chon loc -Mien nui 2" xfId="3494" xr:uid="{00000000-0005-0000-0000-0000AC100000}"/>
    <cellStyle name="T_Book1_1_Bieu tong hop nhu cau ung 2011 da chon loc -Mien nui_!1 1 bao cao giao KH ve HTCMT vung TNB   12-12-2011" xfId="3495" xr:uid="{00000000-0005-0000-0000-0000AD100000}"/>
    <cellStyle name="T_Book1_1_Bieu tong hop nhu cau ung 2011 da chon loc -Mien nui_!1 1 bao cao giao KH ve HTCMT vung TNB   12-12-2011 2" xfId="3496" xr:uid="{00000000-0005-0000-0000-0000AE100000}"/>
    <cellStyle name="T_Book1_1_Bieu tong hop nhu cau ung 2011 da chon loc -Mien nui_KH TPCP vung TNB (03-1-2012)" xfId="3497" xr:uid="{00000000-0005-0000-0000-0000AF100000}"/>
    <cellStyle name="T_Book1_1_Bieu tong hop nhu cau ung 2011 da chon loc -Mien nui_KH TPCP vung TNB (03-1-2012) 2" xfId="3498" xr:uid="{00000000-0005-0000-0000-0000B0100000}"/>
    <cellStyle name="T_Book1_1_Bieu3ODA" xfId="3499" xr:uid="{00000000-0005-0000-0000-0000B1100000}"/>
    <cellStyle name="T_Book1_1_Bieu3ODA 2" xfId="3500" xr:uid="{00000000-0005-0000-0000-0000B2100000}"/>
    <cellStyle name="T_Book1_1_Bieu3ODA_!1 1 bao cao giao KH ve HTCMT vung TNB   12-12-2011" xfId="3501" xr:uid="{00000000-0005-0000-0000-0000B3100000}"/>
    <cellStyle name="T_Book1_1_Bieu3ODA_!1 1 bao cao giao KH ve HTCMT vung TNB   12-12-2011 2" xfId="3502" xr:uid="{00000000-0005-0000-0000-0000B4100000}"/>
    <cellStyle name="T_Book1_1_Bieu3ODA_KH TPCP vung TNB (03-1-2012)" xfId="3503" xr:uid="{00000000-0005-0000-0000-0000B5100000}"/>
    <cellStyle name="T_Book1_1_Bieu3ODA_KH TPCP vung TNB (03-1-2012) 2" xfId="3504" xr:uid="{00000000-0005-0000-0000-0000B6100000}"/>
    <cellStyle name="T_Book1_1_CPK" xfId="3505" xr:uid="{00000000-0005-0000-0000-0000B7100000}"/>
    <cellStyle name="T_Book1_1_CPK 2" xfId="3506" xr:uid="{00000000-0005-0000-0000-0000B8100000}"/>
    <cellStyle name="T_Book1_1_CPK_!1 1 bao cao giao KH ve HTCMT vung TNB   12-12-2011" xfId="3507" xr:uid="{00000000-0005-0000-0000-0000B9100000}"/>
    <cellStyle name="T_Book1_1_CPK_!1 1 bao cao giao KH ve HTCMT vung TNB   12-12-2011 2" xfId="3508" xr:uid="{00000000-0005-0000-0000-0000BA100000}"/>
    <cellStyle name="T_Book1_1_CPK_Bieu4HTMT" xfId="3509" xr:uid="{00000000-0005-0000-0000-0000BB100000}"/>
    <cellStyle name="T_Book1_1_CPK_Bieu4HTMT 2" xfId="3510" xr:uid="{00000000-0005-0000-0000-0000BC100000}"/>
    <cellStyle name="T_Book1_1_CPK_Bieu4HTMT_!1 1 bao cao giao KH ve HTCMT vung TNB   12-12-2011" xfId="3511" xr:uid="{00000000-0005-0000-0000-0000BD100000}"/>
    <cellStyle name="T_Book1_1_CPK_Bieu4HTMT_!1 1 bao cao giao KH ve HTCMT vung TNB   12-12-2011 2" xfId="3512" xr:uid="{00000000-0005-0000-0000-0000BE100000}"/>
    <cellStyle name="T_Book1_1_CPK_Bieu4HTMT_KH TPCP vung TNB (03-1-2012)" xfId="3513" xr:uid="{00000000-0005-0000-0000-0000BF100000}"/>
    <cellStyle name="T_Book1_1_CPK_Bieu4HTMT_KH TPCP vung TNB (03-1-2012) 2" xfId="3514" xr:uid="{00000000-0005-0000-0000-0000C0100000}"/>
    <cellStyle name="T_Book1_1_CPK_KH TPCP vung TNB (03-1-2012)" xfId="3515" xr:uid="{00000000-0005-0000-0000-0000C1100000}"/>
    <cellStyle name="T_Book1_1_CPK_KH TPCP vung TNB (03-1-2012) 2" xfId="3516" xr:uid="{00000000-0005-0000-0000-0000C2100000}"/>
    <cellStyle name="T_Book1_1_KH TPCP vung TNB (03-1-2012)" xfId="3519" xr:uid="{00000000-0005-0000-0000-0000C3100000}"/>
    <cellStyle name="T_Book1_1_KH TPCP vung TNB (03-1-2012) 2" xfId="3520" xr:uid="{00000000-0005-0000-0000-0000C4100000}"/>
    <cellStyle name="T_Book1_1_kien giang 2" xfId="3517" xr:uid="{00000000-0005-0000-0000-0000C5100000}"/>
    <cellStyle name="T_Book1_1_kien giang 2 2" xfId="3518" xr:uid="{00000000-0005-0000-0000-0000C6100000}"/>
    <cellStyle name="T_Book1_1_Luy ke von ung nam 2011 -Thoa gui ngay 12-8-2012" xfId="3521" xr:uid="{00000000-0005-0000-0000-0000C7100000}"/>
    <cellStyle name="T_Book1_1_Luy ke von ung nam 2011 -Thoa gui ngay 12-8-2012 2" xfId="3522" xr:uid="{00000000-0005-0000-0000-0000C8100000}"/>
    <cellStyle name="T_Book1_1_Luy ke von ung nam 2011 -Thoa gui ngay 12-8-2012_!1 1 bao cao giao KH ve HTCMT vung TNB   12-12-2011" xfId="3523" xr:uid="{00000000-0005-0000-0000-0000C9100000}"/>
    <cellStyle name="T_Book1_1_Luy ke von ung nam 2011 -Thoa gui ngay 12-8-2012_!1 1 bao cao giao KH ve HTCMT vung TNB   12-12-2011 2" xfId="3524" xr:uid="{00000000-0005-0000-0000-0000CA100000}"/>
    <cellStyle name="T_Book1_1_Luy ke von ung nam 2011 -Thoa gui ngay 12-8-2012_KH TPCP vung TNB (03-1-2012)" xfId="3525" xr:uid="{00000000-0005-0000-0000-0000CB100000}"/>
    <cellStyle name="T_Book1_1_Luy ke von ung nam 2011 -Thoa gui ngay 12-8-2012_KH TPCP vung TNB (03-1-2012) 2" xfId="3526" xr:uid="{00000000-0005-0000-0000-0000CC100000}"/>
    <cellStyle name="T_Book1_1_Thiet bi" xfId="3527" xr:uid="{00000000-0005-0000-0000-0000CD100000}"/>
    <cellStyle name="T_Book1_1_Thiet bi 2" xfId="3528" xr:uid="{00000000-0005-0000-0000-0000CE100000}"/>
    <cellStyle name="T_Book1_1_Thiet bi_!1 1 bao cao giao KH ve HTCMT vung TNB   12-12-2011" xfId="3529" xr:uid="{00000000-0005-0000-0000-0000CF100000}"/>
    <cellStyle name="T_Book1_1_Thiet bi_!1 1 bao cao giao KH ve HTCMT vung TNB   12-12-2011 2" xfId="3530" xr:uid="{00000000-0005-0000-0000-0000D0100000}"/>
    <cellStyle name="T_Book1_1_Thiet bi_Bieu4HTMT" xfId="3531" xr:uid="{00000000-0005-0000-0000-0000D1100000}"/>
    <cellStyle name="T_Book1_1_Thiet bi_Bieu4HTMT 2" xfId="3532" xr:uid="{00000000-0005-0000-0000-0000D2100000}"/>
    <cellStyle name="T_Book1_1_Thiet bi_Bieu4HTMT_!1 1 bao cao giao KH ve HTCMT vung TNB   12-12-2011" xfId="3533" xr:uid="{00000000-0005-0000-0000-0000D3100000}"/>
    <cellStyle name="T_Book1_1_Thiet bi_Bieu4HTMT_!1 1 bao cao giao KH ve HTCMT vung TNB   12-12-2011 2" xfId="3534" xr:uid="{00000000-0005-0000-0000-0000D4100000}"/>
    <cellStyle name="T_Book1_1_Thiet bi_Bieu4HTMT_KH TPCP vung TNB (03-1-2012)" xfId="3535" xr:uid="{00000000-0005-0000-0000-0000D5100000}"/>
    <cellStyle name="T_Book1_1_Thiet bi_Bieu4HTMT_KH TPCP vung TNB (03-1-2012) 2" xfId="3536" xr:uid="{00000000-0005-0000-0000-0000D6100000}"/>
    <cellStyle name="T_Book1_1_Thiet bi_KH TPCP vung TNB (03-1-2012)" xfId="3537" xr:uid="{00000000-0005-0000-0000-0000D7100000}"/>
    <cellStyle name="T_Book1_1_Thiet bi_KH TPCP vung TNB (03-1-2012) 2" xfId="3538" xr:uid="{00000000-0005-0000-0000-0000D8100000}"/>
    <cellStyle name="T_Book1_15_10_2013 BC nhu cau von doi ung ODA (2014-2016) ngay 15102013 Sua" xfId="3539" xr:uid="{00000000-0005-0000-0000-0000D9100000}"/>
    <cellStyle name="T_Book1_bao cao phan bo KHDT 2011(final)" xfId="3540" xr:uid="{00000000-0005-0000-0000-0000DA100000}"/>
    <cellStyle name="T_Book1_bao cao phan bo KHDT 2011(final)_BC nhu cau von doi ung ODA nganh NN (BKH)" xfId="3541" xr:uid="{00000000-0005-0000-0000-0000DB100000}"/>
    <cellStyle name="T_Book1_bao cao phan bo KHDT 2011(final)_BC Tai co cau (bieu TH)" xfId="3542" xr:uid="{00000000-0005-0000-0000-0000DC100000}"/>
    <cellStyle name="T_Book1_bao cao phan bo KHDT 2011(final)_DK 2014-2015 final" xfId="3543" xr:uid="{00000000-0005-0000-0000-0000DD100000}"/>
    <cellStyle name="T_Book1_bao cao phan bo KHDT 2011(final)_DK 2014-2015 new" xfId="3544" xr:uid="{00000000-0005-0000-0000-0000DE100000}"/>
    <cellStyle name="T_Book1_bao cao phan bo KHDT 2011(final)_DK KH CBDT 2014 11-11-2013" xfId="3545" xr:uid="{00000000-0005-0000-0000-0000DF100000}"/>
    <cellStyle name="T_Book1_bao cao phan bo KHDT 2011(final)_DK KH CBDT 2014 11-11-2013(1)" xfId="3546" xr:uid="{00000000-0005-0000-0000-0000E0100000}"/>
    <cellStyle name="T_Book1_bao cao phan bo KHDT 2011(final)_KH 2011-2015" xfId="3547" xr:uid="{00000000-0005-0000-0000-0000E1100000}"/>
    <cellStyle name="T_Book1_bao cao phan bo KHDT 2011(final)_tai co cau dau tu (tong hop)1" xfId="3548" xr:uid="{00000000-0005-0000-0000-0000E2100000}"/>
    <cellStyle name="T_Book1_BC nhu cau von doi ung ODA nganh NN (BKH)" xfId="3553" xr:uid="{00000000-0005-0000-0000-0000E3100000}"/>
    <cellStyle name="T_Book1_BC nhu cau von doi ung ODA nganh NN (BKH)_05-12  KH trung han 2016-2020 - Liem Thinh edited" xfId="3554" xr:uid="{00000000-0005-0000-0000-0000E4100000}"/>
    <cellStyle name="T_Book1_BC nhu cau von doi ung ODA nganh NN (BKH)_Copy of 05-12  KH trung han 2016-2020 - Liem Thinh edited (1)" xfId="3555" xr:uid="{00000000-0005-0000-0000-0000E5100000}"/>
    <cellStyle name="T_Book1_BC NQ11-CP - chinh sua lai" xfId="3549" xr:uid="{00000000-0005-0000-0000-0000E6100000}"/>
    <cellStyle name="T_Book1_BC NQ11-CP - chinh sua lai 2" xfId="3550" xr:uid="{00000000-0005-0000-0000-0000E7100000}"/>
    <cellStyle name="T_Book1_BC NQ11-CP-Quynh sau bieu so3" xfId="3551" xr:uid="{00000000-0005-0000-0000-0000E8100000}"/>
    <cellStyle name="T_Book1_BC NQ11-CP-Quynh sau bieu so3 2" xfId="3552" xr:uid="{00000000-0005-0000-0000-0000E9100000}"/>
    <cellStyle name="T_Book1_BC Tai co cau (bieu TH)" xfId="3556" xr:uid="{00000000-0005-0000-0000-0000EA100000}"/>
    <cellStyle name="T_Book1_BC Tai co cau (bieu TH)_05-12  KH trung han 2016-2020 - Liem Thinh edited" xfId="3557" xr:uid="{00000000-0005-0000-0000-0000EB100000}"/>
    <cellStyle name="T_Book1_BC Tai co cau (bieu TH)_Copy of 05-12  KH trung han 2016-2020 - Liem Thinh edited (1)" xfId="3558" xr:uid="{00000000-0005-0000-0000-0000EC100000}"/>
    <cellStyle name="T_Book1_BC_NQ11-CP_-_Thao_sua_lai" xfId="3559" xr:uid="{00000000-0005-0000-0000-0000ED100000}"/>
    <cellStyle name="T_Book1_BC_NQ11-CP_-_Thao_sua_lai 2" xfId="3560" xr:uid="{00000000-0005-0000-0000-0000EE100000}"/>
    <cellStyle name="T_Book1_Bieu mau cong trinh khoi cong moi 3-4" xfId="3561" xr:uid="{00000000-0005-0000-0000-0000EF100000}"/>
    <cellStyle name="T_Book1_Bieu mau cong trinh khoi cong moi 3-4 2" xfId="3562" xr:uid="{00000000-0005-0000-0000-0000F0100000}"/>
    <cellStyle name="T_Book1_Bieu mau cong trinh khoi cong moi 3-4_!1 1 bao cao giao KH ve HTCMT vung TNB   12-12-2011" xfId="3563" xr:uid="{00000000-0005-0000-0000-0000F1100000}"/>
    <cellStyle name="T_Book1_Bieu mau cong trinh khoi cong moi 3-4_!1 1 bao cao giao KH ve HTCMT vung TNB   12-12-2011 2" xfId="3564" xr:uid="{00000000-0005-0000-0000-0000F2100000}"/>
    <cellStyle name="T_Book1_Bieu mau cong trinh khoi cong moi 3-4_KH TPCP vung TNB (03-1-2012)" xfId="3565" xr:uid="{00000000-0005-0000-0000-0000F3100000}"/>
    <cellStyle name="T_Book1_Bieu mau cong trinh khoi cong moi 3-4_KH TPCP vung TNB (03-1-2012) 2" xfId="3566" xr:uid="{00000000-0005-0000-0000-0000F4100000}"/>
    <cellStyle name="T_Book1_Bieu mau danh muc du an thuoc CTMTQG nam 2008" xfId="3567" xr:uid="{00000000-0005-0000-0000-0000F5100000}"/>
    <cellStyle name="T_Book1_Bieu mau danh muc du an thuoc CTMTQG nam 2008 2" xfId="3568" xr:uid="{00000000-0005-0000-0000-0000F6100000}"/>
    <cellStyle name="T_Book1_Bieu mau danh muc du an thuoc CTMTQG nam 2008_!1 1 bao cao giao KH ve HTCMT vung TNB   12-12-2011" xfId="3569" xr:uid="{00000000-0005-0000-0000-0000F7100000}"/>
    <cellStyle name="T_Book1_Bieu mau danh muc du an thuoc CTMTQG nam 2008_!1 1 bao cao giao KH ve HTCMT vung TNB   12-12-2011 2" xfId="3570" xr:uid="{00000000-0005-0000-0000-0000F8100000}"/>
    <cellStyle name="T_Book1_Bieu mau danh muc du an thuoc CTMTQG nam 2008_KH TPCP vung TNB (03-1-2012)" xfId="3571" xr:uid="{00000000-0005-0000-0000-0000F9100000}"/>
    <cellStyle name="T_Book1_Bieu mau danh muc du an thuoc CTMTQG nam 2008_KH TPCP vung TNB (03-1-2012) 2" xfId="3572" xr:uid="{00000000-0005-0000-0000-0000FA100000}"/>
    <cellStyle name="T_Book1_Bieu tong hop nhu cau ung 2011 da chon loc -Mien nui" xfId="3573" xr:uid="{00000000-0005-0000-0000-0000FB100000}"/>
    <cellStyle name="T_Book1_Bieu tong hop nhu cau ung 2011 da chon loc -Mien nui 2" xfId="3574" xr:uid="{00000000-0005-0000-0000-0000FC100000}"/>
    <cellStyle name="T_Book1_Bieu tong hop nhu cau ung 2011 da chon loc -Mien nui_!1 1 bao cao giao KH ve HTCMT vung TNB   12-12-2011" xfId="3575" xr:uid="{00000000-0005-0000-0000-0000FD100000}"/>
    <cellStyle name="T_Book1_Bieu tong hop nhu cau ung 2011 da chon loc -Mien nui_!1 1 bao cao giao KH ve HTCMT vung TNB   12-12-2011 2" xfId="3576" xr:uid="{00000000-0005-0000-0000-0000FE100000}"/>
    <cellStyle name="T_Book1_Bieu tong hop nhu cau ung 2011 da chon loc -Mien nui_KH TPCP vung TNB (03-1-2012)" xfId="3577" xr:uid="{00000000-0005-0000-0000-0000FF100000}"/>
    <cellStyle name="T_Book1_Bieu tong hop nhu cau ung 2011 da chon loc -Mien nui_KH TPCP vung TNB (03-1-2012) 2" xfId="3578" xr:uid="{00000000-0005-0000-0000-000000110000}"/>
    <cellStyle name="T_Book1_Bieu3ODA" xfId="3579" xr:uid="{00000000-0005-0000-0000-000001110000}"/>
    <cellStyle name="T_Book1_Bieu3ODA 2" xfId="3580" xr:uid="{00000000-0005-0000-0000-000002110000}"/>
    <cellStyle name="T_Book1_Bieu3ODA_!1 1 bao cao giao KH ve HTCMT vung TNB   12-12-2011" xfId="3581" xr:uid="{00000000-0005-0000-0000-000003110000}"/>
    <cellStyle name="T_Book1_Bieu3ODA_!1 1 bao cao giao KH ve HTCMT vung TNB   12-12-2011 2" xfId="3582" xr:uid="{00000000-0005-0000-0000-000004110000}"/>
    <cellStyle name="T_Book1_Bieu3ODA_1" xfId="3583" xr:uid="{00000000-0005-0000-0000-000005110000}"/>
    <cellStyle name="T_Book1_Bieu3ODA_1 2" xfId="3584" xr:uid="{00000000-0005-0000-0000-000006110000}"/>
    <cellStyle name="T_Book1_Bieu3ODA_1_!1 1 bao cao giao KH ve HTCMT vung TNB   12-12-2011" xfId="3585" xr:uid="{00000000-0005-0000-0000-000007110000}"/>
    <cellStyle name="T_Book1_Bieu3ODA_1_!1 1 bao cao giao KH ve HTCMT vung TNB   12-12-2011 2" xfId="3586" xr:uid="{00000000-0005-0000-0000-000008110000}"/>
    <cellStyle name="T_Book1_Bieu3ODA_1_KH TPCP vung TNB (03-1-2012)" xfId="3587" xr:uid="{00000000-0005-0000-0000-000009110000}"/>
    <cellStyle name="T_Book1_Bieu3ODA_1_KH TPCP vung TNB (03-1-2012) 2" xfId="3588" xr:uid="{00000000-0005-0000-0000-00000A110000}"/>
    <cellStyle name="T_Book1_Bieu3ODA_KH TPCP vung TNB (03-1-2012)" xfId="3589" xr:uid="{00000000-0005-0000-0000-00000B110000}"/>
    <cellStyle name="T_Book1_Bieu3ODA_KH TPCP vung TNB (03-1-2012) 2" xfId="3590" xr:uid="{00000000-0005-0000-0000-00000C110000}"/>
    <cellStyle name="T_Book1_Bieu4HTMT" xfId="3591" xr:uid="{00000000-0005-0000-0000-00000D110000}"/>
    <cellStyle name="T_Book1_Bieu4HTMT 2" xfId="3592" xr:uid="{00000000-0005-0000-0000-00000E110000}"/>
    <cellStyle name="T_Book1_Bieu4HTMT_!1 1 bao cao giao KH ve HTCMT vung TNB   12-12-2011" xfId="3593" xr:uid="{00000000-0005-0000-0000-00000F110000}"/>
    <cellStyle name="T_Book1_Bieu4HTMT_!1 1 bao cao giao KH ve HTCMT vung TNB   12-12-2011 2" xfId="3594" xr:uid="{00000000-0005-0000-0000-000010110000}"/>
    <cellStyle name="T_Book1_Bieu4HTMT_KH TPCP vung TNB (03-1-2012)" xfId="3595" xr:uid="{00000000-0005-0000-0000-000011110000}"/>
    <cellStyle name="T_Book1_Bieu4HTMT_KH TPCP vung TNB (03-1-2012) 2" xfId="3596" xr:uid="{00000000-0005-0000-0000-000012110000}"/>
    <cellStyle name="T_Book1_Book1" xfId="3597" xr:uid="{00000000-0005-0000-0000-000013110000}"/>
    <cellStyle name="T_Book1_Book1 2" xfId="3598" xr:uid="{00000000-0005-0000-0000-000014110000}"/>
    <cellStyle name="T_Book1_Cong trinh co y kien LD_Dang_NN_2011-Tay nguyen-9-10" xfId="3599" xr:uid="{00000000-0005-0000-0000-000015110000}"/>
    <cellStyle name="T_Book1_Cong trinh co y kien LD_Dang_NN_2011-Tay nguyen-9-10 2" xfId="3600" xr:uid="{00000000-0005-0000-0000-000016110000}"/>
    <cellStyle name="T_Book1_Cong trinh co y kien LD_Dang_NN_2011-Tay nguyen-9-10_!1 1 bao cao giao KH ve HTCMT vung TNB   12-12-2011" xfId="3601" xr:uid="{00000000-0005-0000-0000-000017110000}"/>
    <cellStyle name="T_Book1_Cong trinh co y kien LD_Dang_NN_2011-Tay nguyen-9-10_!1 1 bao cao giao KH ve HTCMT vung TNB   12-12-2011 2" xfId="3602" xr:uid="{00000000-0005-0000-0000-000018110000}"/>
    <cellStyle name="T_Book1_Cong trinh co y kien LD_Dang_NN_2011-Tay nguyen-9-10_Bieu4HTMT" xfId="3603" xr:uid="{00000000-0005-0000-0000-000019110000}"/>
    <cellStyle name="T_Book1_Cong trinh co y kien LD_Dang_NN_2011-Tay nguyen-9-10_Bieu4HTMT 2" xfId="3604" xr:uid="{00000000-0005-0000-0000-00001A110000}"/>
    <cellStyle name="T_Book1_Cong trinh co y kien LD_Dang_NN_2011-Tay nguyen-9-10_KH TPCP vung TNB (03-1-2012)" xfId="3605" xr:uid="{00000000-0005-0000-0000-00001B110000}"/>
    <cellStyle name="T_Book1_Cong trinh co y kien LD_Dang_NN_2011-Tay nguyen-9-10_KH TPCP vung TNB (03-1-2012) 2" xfId="3606" xr:uid="{00000000-0005-0000-0000-00001C110000}"/>
    <cellStyle name="T_Book1_CPK" xfId="3607" xr:uid="{00000000-0005-0000-0000-00001D110000}"/>
    <cellStyle name="T_Book1_CPK 2" xfId="3608" xr:uid="{00000000-0005-0000-0000-00001E110000}"/>
    <cellStyle name="T_Book1_danh muc chuan bi dau tu 2011 ngay 07-6-2011" xfId="3609" xr:uid="{00000000-0005-0000-0000-00001F110000}"/>
    <cellStyle name="T_Book1_danh muc chuan bi dau tu 2011 ngay 07-6-2011 2" xfId="3610" xr:uid="{00000000-0005-0000-0000-000020110000}"/>
    <cellStyle name="T_Book1_dieu chinh KH 2011 ngay 26-5-2011111" xfId="3611" xr:uid="{00000000-0005-0000-0000-000021110000}"/>
    <cellStyle name="T_Book1_dieu chinh KH 2011 ngay 26-5-2011111 2" xfId="3612" xr:uid="{00000000-0005-0000-0000-000022110000}"/>
    <cellStyle name="T_Book1_DK 2014-2015 final" xfId="3613" xr:uid="{00000000-0005-0000-0000-000023110000}"/>
    <cellStyle name="T_Book1_DK 2014-2015 final_05-12  KH trung han 2016-2020 - Liem Thinh edited" xfId="3614" xr:uid="{00000000-0005-0000-0000-000024110000}"/>
    <cellStyle name="T_Book1_DK 2014-2015 final_Copy of 05-12  KH trung han 2016-2020 - Liem Thinh edited (1)" xfId="3615" xr:uid="{00000000-0005-0000-0000-000025110000}"/>
    <cellStyle name="T_Book1_DK 2014-2015 new" xfId="3616" xr:uid="{00000000-0005-0000-0000-000026110000}"/>
    <cellStyle name="T_Book1_DK 2014-2015 new_05-12  KH trung han 2016-2020 - Liem Thinh edited" xfId="3617" xr:uid="{00000000-0005-0000-0000-000027110000}"/>
    <cellStyle name="T_Book1_DK 2014-2015 new_Copy of 05-12  KH trung han 2016-2020 - Liem Thinh edited (1)" xfId="3618" xr:uid="{00000000-0005-0000-0000-000028110000}"/>
    <cellStyle name="T_Book1_DK KH CBDT 2014 11-11-2013" xfId="3619" xr:uid="{00000000-0005-0000-0000-000029110000}"/>
    <cellStyle name="T_Book1_DK KH CBDT 2014 11-11-2013(1)" xfId="3620" xr:uid="{00000000-0005-0000-0000-00002A110000}"/>
    <cellStyle name="T_Book1_DK KH CBDT 2014 11-11-2013(1)_05-12  KH trung han 2016-2020 - Liem Thinh edited" xfId="3621" xr:uid="{00000000-0005-0000-0000-00002B110000}"/>
    <cellStyle name="T_Book1_DK KH CBDT 2014 11-11-2013(1)_Copy of 05-12  KH trung han 2016-2020 - Liem Thinh edited (1)" xfId="3622" xr:uid="{00000000-0005-0000-0000-00002C110000}"/>
    <cellStyle name="T_Book1_DK KH CBDT 2014 11-11-2013_05-12  KH trung han 2016-2020 - Liem Thinh edited" xfId="3623" xr:uid="{00000000-0005-0000-0000-00002D110000}"/>
    <cellStyle name="T_Book1_DK KH CBDT 2014 11-11-2013_Copy of 05-12  KH trung han 2016-2020 - Liem Thinh edited (1)" xfId="3624" xr:uid="{00000000-0005-0000-0000-00002E110000}"/>
    <cellStyle name="T_Book1_Du an khoi cong moi nam 2010" xfId="3625" xr:uid="{00000000-0005-0000-0000-00002F110000}"/>
    <cellStyle name="T_Book1_Du an khoi cong moi nam 2010 2" xfId="3626" xr:uid="{00000000-0005-0000-0000-000030110000}"/>
    <cellStyle name="T_Book1_Du an khoi cong moi nam 2010_!1 1 bao cao giao KH ve HTCMT vung TNB   12-12-2011" xfId="3627" xr:uid="{00000000-0005-0000-0000-000031110000}"/>
    <cellStyle name="T_Book1_Du an khoi cong moi nam 2010_!1 1 bao cao giao KH ve HTCMT vung TNB   12-12-2011 2" xfId="3628" xr:uid="{00000000-0005-0000-0000-000032110000}"/>
    <cellStyle name="T_Book1_Du an khoi cong moi nam 2010_KH TPCP vung TNB (03-1-2012)" xfId="3629" xr:uid="{00000000-0005-0000-0000-000033110000}"/>
    <cellStyle name="T_Book1_Du an khoi cong moi nam 2010_KH TPCP vung TNB (03-1-2012) 2" xfId="3630" xr:uid="{00000000-0005-0000-0000-000034110000}"/>
    <cellStyle name="T_Book1_giao KH 2011 ngay 10-12-2010" xfId="3631" xr:uid="{00000000-0005-0000-0000-000035110000}"/>
    <cellStyle name="T_Book1_giao KH 2011 ngay 10-12-2010 2" xfId="3632" xr:uid="{00000000-0005-0000-0000-000036110000}"/>
    <cellStyle name="T_Book1_Hang Tom goi9 9-07(Cau 12 sua)" xfId="3633" xr:uid="{00000000-0005-0000-0000-000037110000}"/>
    <cellStyle name="T_Book1_Hang Tom goi9 9-07(Cau 12 sua) 2" xfId="3634" xr:uid="{00000000-0005-0000-0000-000038110000}"/>
    <cellStyle name="T_Book1_Ket qua phan bo von nam 2008" xfId="3635" xr:uid="{00000000-0005-0000-0000-000039110000}"/>
    <cellStyle name="T_Book1_Ket qua phan bo von nam 2008 2" xfId="3636" xr:uid="{00000000-0005-0000-0000-00003A110000}"/>
    <cellStyle name="T_Book1_Ket qua phan bo von nam 2008_!1 1 bao cao giao KH ve HTCMT vung TNB   12-12-2011" xfId="3637" xr:uid="{00000000-0005-0000-0000-00003B110000}"/>
    <cellStyle name="T_Book1_Ket qua phan bo von nam 2008_!1 1 bao cao giao KH ve HTCMT vung TNB   12-12-2011 2" xfId="3638" xr:uid="{00000000-0005-0000-0000-00003C110000}"/>
    <cellStyle name="T_Book1_Ket qua phan bo von nam 2008_KH TPCP vung TNB (03-1-2012)" xfId="3639" xr:uid="{00000000-0005-0000-0000-00003D110000}"/>
    <cellStyle name="T_Book1_Ket qua phan bo von nam 2008_KH TPCP vung TNB (03-1-2012) 2" xfId="3640" xr:uid="{00000000-0005-0000-0000-00003E110000}"/>
    <cellStyle name="T_Book1_KH TPCP vung TNB (03-1-2012)" xfId="3643" xr:uid="{00000000-0005-0000-0000-00003F110000}"/>
    <cellStyle name="T_Book1_KH TPCP vung TNB (03-1-2012) 2" xfId="3644" xr:uid="{00000000-0005-0000-0000-000040110000}"/>
    <cellStyle name="T_Book1_KH XDCB_2008 lan 2 sua ngay 10-11" xfId="3645" xr:uid="{00000000-0005-0000-0000-000041110000}"/>
    <cellStyle name="T_Book1_KH XDCB_2008 lan 2 sua ngay 10-11 2" xfId="3646" xr:uid="{00000000-0005-0000-0000-000042110000}"/>
    <cellStyle name="T_Book1_KH XDCB_2008 lan 2 sua ngay 10-11_!1 1 bao cao giao KH ve HTCMT vung TNB   12-12-2011" xfId="3647" xr:uid="{00000000-0005-0000-0000-000043110000}"/>
    <cellStyle name="T_Book1_KH XDCB_2008 lan 2 sua ngay 10-11_!1 1 bao cao giao KH ve HTCMT vung TNB   12-12-2011 2" xfId="3648" xr:uid="{00000000-0005-0000-0000-000044110000}"/>
    <cellStyle name="T_Book1_KH XDCB_2008 lan 2 sua ngay 10-11_KH TPCP vung TNB (03-1-2012)" xfId="3649" xr:uid="{00000000-0005-0000-0000-000045110000}"/>
    <cellStyle name="T_Book1_KH XDCB_2008 lan 2 sua ngay 10-11_KH TPCP vung TNB (03-1-2012) 2" xfId="3650" xr:uid="{00000000-0005-0000-0000-000046110000}"/>
    <cellStyle name="T_Book1_Khoi luong chinh Hang Tom" xfId="3651" xr:uid="{00000000-0005-0000-0000-000047110000}"/>
    <cellStyle name="T_Book1_Khoi luong chinh Hang Tom 2" xfId="3652" xr:uid="{00000000-0005-0000-0000-000048110000}"/>
    <cellStyle name="T_Book1_kien giang 2" xfId="3641" xr:uid="{00000000-0005-0000-0000-000049110000}"/>
    <cellStyle name="T_Book1_kien giang 2 2" xfId="3642" xr:uid="{00000000-0005-0000-0000-00004A110000}"/>
    <cellStyle name="T_Book1_Luy ke von ung nam 2011 -Thoa gui ngay 12-8-2012" xfId="3653" xr:uid="{00000000-0005-0000-0000-00004B110000}"/>
    <cellStyle name="T_Book1_Luy ke von ung nam 2011 -Thoa gui ngay 12-8-2012 2" xfId="3654" xr:uid="{00000000-0005-0000-0000-00004C110000}"/>
    <cellStyle name="T_Book1_Luy ke von ung nam 2011 -Thoa gui ngay 12-8-2012_!1 1 bao cao giao KH ve HTCMT vung TNB   12-12-2011" xfId="3655" xr:uid="{00000000-0005-0000-0000-00004D110000}"/>
    <cellStyle name="T_Book1_Luy ke von ung nam 2011 -Thoa gui ngay 12-8-2012_!1 1 bao cao giao KH ve HTCMT vung TNB   12-12-2011 2" xfId="3656" xr:uid="{00000000-0005-0000-0000-00004E110000}"/>
    <cellStyle name="T_Book1_Luy ke von ung nam 2011 -Thoa gui ngay 12-8-2012_KH TPCP vung TNB (03-1-2012)" xfId="3657" xr:uid="{00000000-0005-0000-0000-00004F110000}"/>
    <cellStyle name="T_Book1_Luy ke von ung nam 2011 -Thoa gui ngay 12-8-2012_KH TPCP vung TNB (03-1-2012) 2" xfId="3658" xr:uid="{00000000-0005-0000-0000-000050110000}"/>
    <cellStyle name="T_Book1_Nhu cau von ung truoc 2011 Tha h Hoa + Nge An gui TW" xfId="3659" xr:uid="{00000000-0005-0000-0000-000051110000}"/>
    <cellStyle name="T_Book1_Nhu cau von ung truoc 2011 Tha h Hoa + Nge An gui TW 2" xfId="3660" xr:uid="{00000000-0005-0000-0000-000052110000}"/>
    <cellStyle name="T_Book1_Nhu cau von ung truoc 2011 Tha h Hoa + Nge An gui TW_!1 1 bao cao giao KH ve HTCMT vung TNB   12-12-2011" xfId="3661" xr:uid="{00000000-0005-0000-0000-000053110000}"/>
    <cellStyle name="T_Book1_Nhu cau von ung truoc 2011 Tha h Hoa + Nge An gui TW_!1 1 bao cao giao KH ve HTCMT vung TNB   12-12-2011 2" xfId="3662" xr:uid="{00000000-0005-0000-0000-000054110000}"/>
    <cellStyle name="T_Book1_Nhu cau von ung truoc 2011 Tha h Hoa + Nge An gui TW_Bieu4HTMT" xfId="3663" xr:uid="{00000000-0005-0000-0000-000055110000}"/>
    <cellStyle name="T_Book1_Nhu cau von ung truoc 2011 Tha h Hoa + Nge An gui TW_Bieu4HTMT 2" xfId="3664" xr:uid="{00000000-0005-0000-0000-000056110000}"/>
    <cellStyle name="T_Book1_Nhu cau von ung truoc 2011 Tha h Hoa + Nge An gui TW_Bieu4HTMT_!1 1 bao cao giao KH ve HTCMT vung TNB   12-12-2011" xfId="3665" xr:uid="{00000000-0005-0000-0000-000057110000}"/>
    <cellStyle name="T_Book1_Nhu cau von ung truoc 2011 Tha h Hoa + Nge An gui TW_Bieu4HTMT_!1 1 bao cao giao KH ve HTCMT vung TNB   12-12-2011 2" xfId="3666" xr:uid="{00000000-0005-0000-0000-000058110000}"/>
    <cellStyle name="T_Book1_Nhu cau von ung truoc 2011 Tha h Hoa + Nge An gui TW_Bieu4HTMT_KH TPCP vung TNB (03-1-2012)" xfId="3667" xr:uid="{00000000-0005-0000-0000-000059110000}"/>
    <cellStyle name="T_Book1_Nhu cau von ung truoc 2011 Tha h Hoa + Nge An gui TW_Bieu4HTMT_KH TPCP vung TNB (03-1-2012) 2" xfId="3668" xr:uid="{00000000-0005-0000-0000-00005A110000}"/>
    <cellStyle name="T_Book1_Nhu cau von ung truoc 2011 Tha h Hoa + Nge An gui TW_KH TPCP vung TNB (03-1-2012)" xfId="3669" xr:uid="{00000000-0005-0000-0000-00005B110000}"/>
    <cellStyle name="T_Book1_Nhu cau von ung truoc 2011 Tha h Hoa + Nge An gui TW_KH TPCP vung TNB (03-1-2012) 2" xfId="3670" xr:uid="{00000000-0005-0000-0000-00005C110000}"/>
    <cellStyle name="T_Book1_phu luc tong ket tinh hinh TH giai doan 03-10 (ngay 30)" xfId="3671" xr:uid="{00000000-0005-0000-0000-00005D110000}"/>
    <cellStyle name="T_Book1_phu luc tong ket tinh hinh TH giai doan 03-10 (ngay 30) 2" xfId="3672" xr:uid="{00000000-0005-0000-0000-00005E110000}"/>
    <cellStyle name="T_Book1_phu luc tong ket tinh hinh TH giai doan 03-10 (ngay 30)_!1 1 bao cao giao KH ve HTCMT vung TNB   12-12-2011" xfId="3673" xr:uid="{00000000-0005-0000-0000-00005F110000}"/>
    <cellStyle name="T_Book1_phu luc tong ket tinh hinh TH giai doan 03-10 (ngay 30)_!1 1 bao cao giao KH ve HTCMT vung TNB   12-12-2011 2" xfId="3674" xr:uid="{00000000-0005-0000-0000-000060110000}"/>
    <cellStyle name="T_Book1_phu luc tong ket tinh hinh TH giai doan 03-10 (ngay 30)_KH TPCP vung TNB (03-1-2012)" xfId="3675" xr:uid="{00000000-0005-0000-0000-000061110000}"/>
    <cellStyle name="T_Book1_phu luc tong ket tinh hinh TH giai doan 03-10 (ngay 30)_KH TPCP vung TNB (03-1-2012) 2" xfId="3676" xr:uid="{00000000-0005-0000-0000-000062110000}"/>
    <cellStyle name="T_Book1_TH ung tren 70%-Ra soat phap ly-8-6 (dung de chuyen vao vu TH)" xfId="3685" xr:uid="{00000000-0005-0000-0000-000063110000}"/>
    <cellStyle name="T_Book1_TH ung tren 70%-Ra soat phap ly-8-6 (dung de chuyen vao vu TH) 2" xfId="3686" xr:uid="{00000000-0005-0000-0000-000064110000}"/>
    <cellStyle name="T_Book1_TH ung tren 70%-Ra soat phap ly-8-6 (dung de chuyen vao vu TH)_!1 1 bao cao giao KH ve HTCMT vung TNB   12-12-2011" xfId="3687" xr:uid="{00000000-0005-0000-0000-000065110000}"/>
    <cellStyle name="T_Book1_TH ung tren 70%-Ra soat phap ly-8-6 (dung de chuyen vao vu TH)_!1 1 bao cao giao KH ve HTCMT vung TNB   12-12-2011 2" xfId="3688" xr:uid="{00000000-0005-0000-0000-000066110000}"/>
    <cellStyle name="T_Book1_TH ung tren 70%-Ra soat phap ly-8-6 (dung de chuyen vao vu TH)_Bieu4HTMT" xfId="3689" xr:uid="{00000000-0005-0000-0000-000067110000}"/>
    <cellStyle name="T_Book1_TH ung tren 70%-Ra soat phap ly-8-6 (dung de chuyen vao vu TH)_Bieu4HTMT 2" xfId="3690" xr:uid="{00000000-0005-0000-0000-000068110000}"/>
    <cellStyle name="T_Book1_TH ung tren 70%-Ra soat phap ly-8-6 (dung de chuyen vao vu TH)_KH TPCP vung TNB (03-1-2012)" xfId="3691" xr:uid="{00000000-0005-0000-0000-000069110000}"/>
    <cellStyle name="T_Book1_TH ung tren 70%-Ra soat phap ly-8-6 (dung de chuyen vao vu TH)_KH TPCP vung TNB (03-1-2012) 2" xfId="3692" xr:uid="{00000000-0005-0000-0000-00006A110000}"/>
    <cellStyle name="T_Book1_TH y kien LD_KH 2010 Ca Nuoc 22-9-2011-Gui ca Vu" xfId="3693" xr:uid="{00000000-0005-0000-0000-00006B110000}"/>
    <cellStyle name="T_Book1_TH y kien LD_KH 2010 Ca Nuoc 22-9-2011-Gui ca Vu 2" xfId="3694" xr:uid="{00000000-0005-0000-0000-00006C110000}"/>
    <cellStyle name="T_Book1_TH y kien LD_KH 2010 Ca Nuoc 22-9-2011-Gui ca Vu_!1 1 bao cao giao KH ve HTCMT vung TNB   12-12-2011" xfId="3695" xr:uid="{00000000-0005-0000-0000-00006D110000}"/>
    <cellStyle name="T_Book1_TH y kien LD_KH 2010 Ca Nuoc 22-9-2011-Gui ca Vu_!1 1 bao cao giao KH ve HTCMT vung TNB   12-12-2011 2" xfId="3696" xr:uid="{00000000-0005-0000-0000-00006E110000}"/>
    <cellStyle name="T_Book1_TH y kien LD_KH 2010 Ca Nuoc 22-9-2011-Gui ca Vu_Bieu4HTMT" xfId="3697" xr:uid="{00000000-0005-0000-0000-00006F110000}"/>
    <cellStyle name="T_Book1_TH y kien LD_KH 2010 Ca Nuoc 22-9-2011-Gui ca Vu_Bieu4HTMT 2" xfId="3698" xr:uid="{00000000-0005-0000-0000-000070110000}"/>
    <cellStyle name="T_Book1_TH y kien LD_KH 2010 Ca Nuoc 22-9-2011-Gui ca Vu_KH TPCP vung TNB (03-1-2012)" xfId="3699" xr:uid="{00000000-0005-0000-0000-000071110000}"/>
    <cellStyle name="T_Book1_TH y kien LD_KH 2010 Ca Nuoc 22-9-2011-Gui ca Vu_KH TPCP vung TNB (03-1-2012) 2" xfId="3700" xr:uid="{00000000-0005-0000-0000-000072110000}"/>
    <cellStyle name="T_Book1_Thiet bi" xfId="3701" xr:uid="{00000000-0005-0000-0000-000073110000}"/>
    <cellStyle name="T_Book1_Thiet bi 2" xfId="3702" xr:uid="{00000000-0005-0000-0000-000074110000}"/>
    <cellStyle name="T_Book1_TN - Ho tro khac 2011" xfId="3677" xr:uid="{00000000-0005-0000-0000-000075110000}"/>
    <cellStyle name="T_Book1_TN - Ho tro khac 2011 2" xfId="3678" xr:uid="{00000000-0005-0000-0000-000076110000}"/>
    <cellStyle name="T_Book1_TN - Ho tro khac 2011_!1 1 bao cao giao KH ve HTCMT vung TNB   12-12-2011" xfId="3679" xr:uid="{00000000-0005-0000-0000-000077110000}"/>
    <cellStyle name="T_Book1_TN - Ho tro khac 2011_!1 1 bao cao giao KH ve HTCMT vung TNB   12-12-2011 2" xfId="3680" xr:uid="{00000000-0005-0000-0000-000078110000}"/>
    <cellStyle name="T_Book1_TN - Ho tro khac 2011_Bieu4HTMT" xfId="3681" xr:uid="{00000000-0005-0000-0000-000079110000}"/>
    <cellStyle name="T_Book1_TN - Ho tro khac 2011_Bieu4HTMT 2" xfId="3682" xr:uid="{00000000-0005-0000-0000-00007A110000}"/>
    <cellStyle name="T_Book1_TN - Ho tro khac 2011_KH TPCP vung TNB (03-1-2012)" xfId="3683" xr:uid="{00000000-0005-0000-0000-00007B110000}"/>
    <cellStyle name="T_Book1_TN - Ho tro khac 2011_KH TPCP vung TNB (03-1-2012) 2" xfId="3684" xr:uid="{00000000-0005-0000-0000-00007C110000}"/>
    <cellStyle name="T_Book1_ung truoc 2011 NSTW Thanh Hoa + Nge An gui Thu 12-5" xfId="3703" xr:uid="{00000000-0005-0000-0000-00007D110000}"/>
    <cellStyle name="T_Book1_ung truoc 2011 NSTW Thanh Hoa + Nge An gui Thu 12-5 2" xfId="3704" xr:uid="{00000000-0005-0000-0000-00007E110000}"/>
    <cellStyle name="T_Book1_ung truoc 2011 NSTW Thanh Hoa + Nge An gui Thu 12-5_!1 1 bao cao giao KH ve HTCMT vung TNB   12-12-2011" xfId="3705" xr:uid="{00000000-0005-0000-0000-00007F110000}"/>
    <cellStyle name="T_Book1_ung truoc 2011 NSTW Thanh Hoa + Nge An gui Thu 12-5_!1 1 bao cao giao KH ve HTCMT vung TNB   12-12-2011 2" xfId="3706" xr:uid="{00000000-0005-0000-0000-000080110000}"/>
    <cellStyle name="T_Book1_ung truoc 2011 NSTW Thanh Hoa + Nge An gui Thu 12-5_Bieu4HTMT" xfId="3707" xr:uid="{00000000-0005-0000-0000-000081110000}"/>
    <cellStyle name="T_Book1_ung truoc 2011 NSTW Thanh Hoa + Nge An gui Thu 12-5_Bieu4HTMT 2" xfId="3708" xr:uid="{00000000-0005-0000-0000-000082110000}"/>
    <cellStyle name="T_Book1_ung truoc 2011 NSTW Thanh Hoa + Nge An gui Thu 12-5_Bieu4HTMT_!1 1 bao cao giao KH ve HTCMT vung TNB   12-12-2011" xfId="3709" xr:uid="{00000000-0005-0000-0000-000083110000}"/>
    <cellStyle name="T_Book1_ung truoc 2011 NSTW Thanh Hoa + Nge An gui Thu 12-5_Bieu4HTMT_!1 1 bao cao giao KH ve HTCMT vung TNB   12-12-2011 2" xfId="3710" xr:uid="{00000000-0005-0000-0000-000084110000}"/>
    <cellStyle name="T_Book1_ung truoc 2011 NSTW Thanh Hoa + Nge An gui Thu 12-5_Bieu4HTMT_KH TPCP vung TNB (03-1-2012)" xfId="3711" xr:uid="{00000000-0005-0000-0000-000085110000}"/>
    <cellStyle name="T_Book1_ung truoc 2011 NSTW Thanh Hoa + Nge An gui Thu 12-5_Bieu4HTMT_KH TPCP vung TNB (03-1-2012) 2" xfId="3712" xr:uid="{00000000-0005-0000-0000-000086110000}"/>
    <cellStyle name="T_Book1_ung truoc 2011 NSTW Thanh Hoa + Nge An gui Thu 12-5_KH TPCP vung TNB (03-1-2012)" xfId="3713" xr:uid="{00000000-0005-0000-0000-000087110000}"/>
    <cellStyle name="T_Book1_ung truoc 2011 NSTW Thanh Hoa + Nge An gui Thu 12-5_KH TPCP vung TNB (03-1-2012) 2" xfId="3714" xr:uid="{00000000-0005-0000-0000-000088110000}"/>
    <cellStyle name="T_Book1_ÿÿÿÿÿ" xfId="3715" xr:uid="{00000000-0005-0000-0000-000089110000}"/>
    <cellStyle name="T_Book1_ÿÿÿÿÿ 2" xfId="3716" xr:uid="{00000000-0005-0000-0000-00008A110000}"/>
    <cellStyle name="T_Chuan bi dau tu nam 2008" xfId="3777" xr:uid="{00000000-0005-0000-0000-00008B110000}"/>
    <cellStyle name="T_Chuan bi dau tu nam 2008 2" xfId="3778" xr:uid="{00000000-0005-0000-0000-00008C110000}"/>
    <cellStyle name="T_Chuan bi dau tu nam 2008_!1 1 bao cao giao KH ve HTCMT vung TNB   12-12-2011" xfId="3779" xr:uid="{00000000-0005-0000-0000-00008D110000}"/>
    <cellStyle name="T_Chuan bi dau tu nam 2008_!1 1 bao cao giao KH ve HTCMT vung TNB   12-12-2011 2" xfId="3780" xr:uid="{00000000-0005-0000-0000-00008E110000}"/>
    <cellStyle name="T_Chuan bi dau tu nam 2008_KH TPCP vung TNB (03-1-2012)" xfId="3781" xr:uid="{00000000-0005-0000-0000-00008F110000}"/>
    <cellStyle name="T_Chuan bi dau tu nam 2008_KH TPCP vung TNB (03-1-2012) 2" xfId="3782" xr:uid="{00000000-0005-0000-0000-000090110000}"/>
    <cellStyle name="T_Copy of Bao cao  XDCB 7 thang nam 2008_So KH&amp;DT SUA" xfId="3717" xr:uid="{00000000-0005-0000-0000-000091110000}"/>
    <cellStyle name="T_Copy of Bao cao  XDCB 7 thang nam 2008_So KH&amp;DT SUA 2" xfId="3718" xr:uid="{00000000-0005-0000-0000-000092110000}"/>
    <cellStyle name="T_Copy of Bao cao  XDCB 7 thang nam 2008_So KH&amp;DT SUA_!1 1 bao cao giao KH ve HTCMT vung TNB   12-12-2011" xfId="3719" xr:uid="{00000000-0005-0000-0000-000093110000}"/>
    <cellStyle name="T_Copy of Bao cao  XDCB 7 thang nam 2008_So KH&amp;DT SUA_!1 1 bao cao giao KH ve HTCMT vung TNB   12-12-2011 2" xfId="3720" xr:uid="{00000000-0005-0000-0000-000094110000}"/>
    <cellStyle name="T_Copy of Bao cao  XDCB 7 thang nam 2008_So KH&amp;DT SUA_KH TPCP vung TNB (03-1-2012)" xfId="3721" xr:uid="{00000000-0005-0000-0000-000095110000}"/>
    <cellStyle name="T_Copy of Bao cao  XDCB 7 thang nam 2008_So KH&amp;DT SUA_KH TPCP vung TNB (03-1-2012) 2" xfId="3722" xr:uid="{00000000-0005-0000-0000-000096110000}"/>
    <cellStyle name="T_CPK" xfId="3723" xr:uid="{00000000-0005-0000-0000-000097110000}"/>
    <cellStyle name="T_CPK 2" xfId="3724" xr:uid="{00000000-0005-0000-0000-000098110000}"/>
    <cellStyle name="T_CPK_!1 1 bao cao giao KH ve HTCMT vung TNB   12-12-2011" xfId="3725" xr:uid="{00000000-0005-0000-0000-000099110000}"/>
    <cellStyle name="T_CPK_!1 1 bao cao giao KH ve HTCMT vung TNB   12-12-2011 2" xfId="3726" xr:uid="{00000000-0005-0000-0000-00009A110000}"/>
    <cellStyle name="T_CPK_Bieu4HTMT" xfId="3727" xr:uid="{00000000-0005-0000-0000-00009B110000}"/>
    <cellStyle name="T_CPK_Bieu4HTMT 2" xfId="3728" xr:uid="{00000000-0005-0000-0000-00009C110000}"/>
    <cellStyle name="T_CPK_Bieu4HTMT_!1 1 bao cao giao KH ve HTCMT vung TNB   12-12-2011" xfId="3729" xr:uid="{00000000-0005-0000-0000-00009D110000}"/>
    <cellStyle name="T_CPK_Bieu4HTMT_!1 1 bao cao giao KH ve HTCMT vung TNB   12-12-2011 2" xfId="3730" xr:uid="{00000000-0005-0000-0000-00009E110000}"/>
    <cellStyle name="T_CPK_Bieu4HTMT_KH TPCP vung TNB (03-1-2012)" xfId="3731" xr:uid="{00000000-0005-0000-0000-00009F110000}"/>
    <cellStyle name="T_CPK_Bieu4HTMT_KH TPCP vung TNB (03-1-2012) 2" xfId="3732" xr:uid="{00000000-0005-0000-0000-0000A0110000}"/>
    <cellStyle name="T_CPK_KH TPCP vung TNB (03-1-2012)" xfId="3733" xr:uid="{00000000-0005-0000-0000-0000A1110000}"/>
    <cellStyle name="T_CPK_KH TPCP vung TNB (03-1-2012) 2" xfId="3734" xr:uid="{00000000-0005-0000-0000-0000A2110000}"/>
    <cellStyle name="T_CTMTQG 2008" xfId="3735" xr:uid="{00000000-0005-0000-0000-0000A3110000}"/>
    <cellStyle name="T_CTMTQG 2008 2" xfId="3736" xr:uid="{00000000-0005-0000-0000-0000A4110000}"/>
    <cellStyle name="T_CTMTQG 2008_!1 1 bao cao giao KH ve HTCMT vung TNB   12-12-2011" xfId="3737" xr:uid="{00000000-0005-0000-0000-0000A5110000}"/>
    <cellStyle name="T_CTMTQG 2008_!1 1 bao cao giao KH ve HTCMT vung TNB   12-12-2011 2" xfId="3738" xr:uid="{00000000-0005-0000-0000-0000A6110000}"/>
    <cellStyle name="T_CTMTQG 2008_Bieu mau danh muc du an thuoc CTMTQG nam 2008" xfId="3739" xr:uid="{00000000-0005-0000-0000-0000A7110000}"/>
    <cellStyle name="T_CTMTQG 2008_Bieu mau danh muc du an thuoc CTMTQG nam 2008 2" xfId="3740" xr:uid="{00000000-0005-0000-0000-0000A8110000}"/>
    <cellStyle name="T_CTMTQG 2008_Bieu mau danh muc du an thuoc CTMTQG nam 2008_!1 1 bao cao giao KH ve HTCMT vung TNB   12-12-2011" xfId="3741" xr:uid="{00000000-0005-0000-0000-0000A9110000}"/>
    <cellStyle name="T_CTMTQG 2008_Bieu mau danh muc du an thuoc CTMTQG nam 2008_!1 1 bao cao giao KH ve HTCMT vung TNB   12-12-2011 2" xfId="3742" xr:uid="{00000000-0005-0000-0000-0000AA110000}"/>
    <cellStyle name="T_CTMTQG 2008_Bieu mau danh muc du an thuoc CTMTQG nam 2008_KH TPCP vung TNB (03-1-2012)" xfId="3743" xr:uid="{00000000-0005-0000-0000-0000AB110000}"/>
    <cellStyle name="T_CTMTQG 2008_Bieu mau danh muc du an thuoc CTMTQG nam 2008_KH TPCP vung TNB (03-1-2012) 2" xfId="3744" xr:uid="{00000000-0005-0000-0000-0000AC110000}"/>
    <cellStyle name="T_CTMTQG 2008_Hi-Tong hop KQ phan bo KH nam 08- LD fong giao 15-11-08" xfId="3745" xr:uid="{00000000-0005-0000-0000-0000AD110000}"/>
    <cellStyle name="T_CTMTQG 2008_Hi-Tong hop KQ phan bo KH nam 08- LD fong giao 15-11-08 2" xfId="3746" xr:uid="{00000000-0005-0000-0000-0000AE110000}"/>
    <cellStyle name="T_CTMTQG 2008_Hi-Tong hop KQ phan bo KH nam 08- LD fong giao 15-11-08_!1 1 bao cao giao KH ve HTCMT vung TNB   12-12-2011" xfId="3747" xr:uid="{00000000-0005-0000-0000-0000AF110000}"/>
    <cellStyle name="T_CTMTQG 2008_Hi-Tong hop KQ phan bo KH nam 08- LD fong giao 15-11-08_!1 1 bao cao giao KH ve HTCMT vung TNB   12-12-2011 2" xfId="3748" xr:uid="{00000000-0005-0000-0000-0000B0110000}"/>
    <cellStyle name="T_CTMTQG 2008_Hi-Tong hop KQ phan bo KH nam 08- LD fong giao 15-11-08_KH TPCP vung TNB (03-1-2012)" xfId="3749" xr:uid="{00000000-0005-0000-0000-0000B1110000}"/>
    <cellStyle name="T_CTMTQG 2008_Hi-Tong hop KQ phan bo KH nam 08- LD fong giao 15-11-08_KH TPCP vung TNB (03-1-2012) 2" xfId="3750" xr:uid="{00000000-0005-0000-0000-0000B2110000}"/>
    <cellStyle name="T_CTMTQG 2008_Ket qua thuc hien nam 2008" xfId="3751" xr:uid="{00000000-0005-0000-0000-0000B3110000}"/>
    <cellStyle name="T_CTMTQG 2008_Ket qua thuc hien nam 2008 2" xfId="3752" xr:uid="{00000000-0005-0000-0000-0000B4110000}"/>
    <cellStyle name="T_CTMTQG 2008_Ket qua thuc hien nam 2008_!1 1 bao cao giao KH ve HTCMT vung TNB   12-12-2011" xfId="3753" xr:uid="{00000000-0005-0000-0000-0000B5110000}"/>
    <cellStyle name="T_CTMTQG 2008_Ket qua thuc hien nam 2008_!1 1 bao cao giao KH ve HTCMT vung TNB   12-12-2011 2" xfId="3754" xr:uid="{00000000-0005-0000-0000-0000B6110000}"/>
    <cellStyle name="T_CTMTQG 2008_Ket qua thuc hien nam 2008_KH TPCP vung TNB (03-1-2012)" xfId="3755" xr:uid="{00000000-0005-0000-0000-0000B7110000}"/>
    <cellStyle name="T_CTMTQG 2008_Ket qua thuc hien nam 2008_KH TPCP vung TNB (03-1-2012) 2" xfId="3756" xr:uid="{00000000-0005-0000-0000-0000B8110000}"/>
    <cellStyle name="T_CTMTQG 2008_KH TPCP vung TNB (03-1-2012)" xfId="3757" xr:uid="{00000000-0005-0000-0000-0000B9110000}"/>
    <cellStyle name="T_CTMTQG 2008_KH TPCP vung TNB (03-1-2012) 2" xfId="3758" xr:uid="{00000000-0005-0000-0000-0000BA110000}"/>
    <cellStyle name="T_CTMTQG 2008_KH XDCB_2008 lan 1" xfId="3759" xr:uid="{00000000-0005-0000-0000-0000BB110000}"/>
    <cellStyle name="T_CTMTQG 2008_KH XDCB_2008 lan 1 2" xfId="3760" xr:uid="{00000000-0005-0000-0000-0000BC110000}"/>
    <cellStyle name="T_CTMTQG 2008_KH XDCB_2008 lan 1 sua ngay 27-10" xfId="3761" xr:uid="{00000000-0005-0000-0000-0000BD110000}"/>
    <cellStyle name="T_CTMTQG 2008_KH XDCB_2008 lan 1 sua ngay 27-10 2" xfId="3762" xr:uid="{00000000-0005-0000-0000-0000BE110000}"/>
    <cellStyle name="T_CTMTQG 2008_KH XDCB_2008 lan 1 sua ngay 27-10_!1 1 bao cao giao KH ve HTCMT vung TNB   12-12-2011" xfId="3763" xr:uid="{00000000-0005-0000-0000-0000BF110000}"/>
    <cellStyle name="T_CTMTQG 2008_KH XDCB_2008 lan 1 sua ngay 27-10_!1 1 bao cao giao KH ve HTCMT vung TNB   12-12-2011 2" xfId="3764" xr:uid="{00000000-0005-0000-0000-0000C0110000}"/>
    <cellStyle name="T_CTMTQG 2008_KH XDCB_2008 lan 1 sua ngay 27-10_KH TPCP vung TNB (03-1-2012)" xfId="3765" xr:uid="{00000000-0005-0000-0000-0000C1110000}"/>
    <cellStyle name="T_CTMTQG 2008_KH XDCB_2008 lan 1 sua ngay 27-10_KH TPCP vung TNB (03-1-2012) 2" xfId="3766" xr:uid="{00000000-0005-0000-0000-0000C2110000}"/>
    <cellStyle name="T_CTMTQG 2008_KH XDCB_2008 lan 1_!1 1 bao cao giao KH ve HTCMT vung TNB   12-12-2011" xfId="3767" xr:uid="{00000000-0005-0000-0000-0000C3110000}"/>
    <cellStyle name="T_CTMTQG 2008_KH XDCB_2008 lan 1_!1 1 bao cao giao KH ve HTCMT vung TNB   12-12-2011 2" xfId="3768" xr:uid="{00000000-0005-0000-0000-0000C4110000}"/>
    <cellStyle name="T_CTMTQG 2008_KH XDCB_2008 lan 1_KH TPCP vung TNB (03-1-2012)" xfId="3769" xr:uid="{00000000-0005-0000-0000-0000C5110000}"/>
    <cellStyle name="T_CTMTQG 2008_KH XDCB_2008 lan 1_KH TPCP vung TNB (03-1-2012) 2" xfId="3770" xr:uid="{00000000-0005-0000-0000-0000C6110000}"/>
    <cellStyle name="T_CTMTQG 2008_KH XDCB_2008 lan 2 sua ngay 10-11" xfId="3771" xr:uid="{00000000-0005-0000-0000-0000C7110000}"/>
    <cellStyle name="T_CTMTQG 2008_KH XDCB_2008 lan 2 sua ngay 10-11 2" xfId="3772" xr:uid="{00000000-0005-0000-0000-0000C8110000}"/>
    <cellStyle name="T_CTMTQG 2008_KH XDCB_2008 lan 2 sua ngay 10-11_!1 1 bao cao giao KH ve HTCMT vung TNB   12-12-2011" xfId="3773" xr:uid="{00000000-0005-0000-0000-0000C9110000}"/>
    <cellStyle name="T_CTMTQG 2008_KH XDCB_2008 lan 2 sua ngay 10-11_!1 1 bao cao giao KH ve HTCMT vung TNB   12-12-2011 2" xfId="3774" xr:uid="{00000000-0005-0000-0000-0000CA110000}"/>
    <cellStyle name="T_CTMTQG 2008_KH XDCB_2008 lan 2 sua ngay 10-11_KH TPCP vung TNB (03-1-2012)" xfId="3775" xr:uid="{00000000-0005-0000-0000-0000CB110000}"/>
    <cellStyle name="T_CTMTQG 2008_KH XDCB_2008 lan 2 sua ngay 10-11_KH TPCP vung TNB (03-1-2012) 2" xfId="3776" xr:uid="{00000000-0005-0000-0000-0000CC110000}"/>
    <cellStyle name="T_danh muc chuan bi dau tu 2011 ngay 07-6-2011" xfId="3783" xr:uid="{00000000-0005-0000-0000-0000CD110000}"/>
    <cellStyle name="T_danh muc chuan bi dau tu 2011 ngay 07-6-2011 2" xfId="3784" xr:uid="{00000000-0005-0000-0000-0000CE110000}"/>
    <cellStyle name="T_danh muc chuan bi dau tu 2011 ngay 07-6-2011_!1 1 bao cao giao KH ve HTCMT vung TNB   12-12-2011" xfId="3785" xr:uid="{00000000-0005-0000-0000-0000CF110000}"/>
    <cellStyle name="T_danh muc chuan bi dau tu 2011 ngay 07-6-2011_!1 1 bao cao giao KH ve HTCMT vung TNB   12-12-2011 2" xfId="3786" xr:uid="{00000000-0005-0000-0000-0000D0110000}"/>
    <cellStyle name="T_danh muc chuan bi dau tu 2011 ngay 07-6-2011_KH TPCP vung TNB (03-1-2012)" xfId="3787" xr:uid="{00000000-0005-0000-0000-0000D1110000}"/>
    <cellStyle name="T_danh muc chuan bi dau tu 2011 ngay 07-6-2011_KH TPCP vung TNB (03-1-2012) 2" xfId="3788" xr:uid="{00000000-0005-0000-0000-0000D2110000}"/>
    <cellStyle name="T_Danh muc pbo nguon von XSKT, XDCB nam 2009 chuyen qua nam 2010" xfId="3789" xr:uid="{00000000-0005-0000-0000-0000D3110000}"/>
    <cellStyle name="T_Danh muc pbo nguon von XSKT, XDCB nam 2009 chuyen qua nam 2010 2" xfId="3790" xr:uid="{00000000-0005-0000-0000-0000D4110000}"/>
    <cellStyle name="T_Danh muc pbo nguon von XSKT, XDCB nam 2009 chuyen qua nam 2010_!1 1 bao cao giao KH ve HTCMT vung TNB   12-12-2011" xfId="3791" xr:uid="{00000000-0005-0000-0000-0000D5110000}"/>
    <cellStyle name="T_Danh muc pbo nguon von XSKT, XDCB nam 2009 chuyen qua nam 2010_!1 1 bao cao giao KH ve HTCMT vung TNB   12-12-2011 2" xfId="3792" xr:uid="{00000000-0005-0000-0000-0000D6110000}"/>
    <cellStyle name="T_Danh muc pbo nguon von XSKT, XDCB nam 2009 chuyen qua nam 2010_KH TPCP vung TNB (03-1-2012)" xfId="3793" xr:uid="{00000000-0005-0000-0000-0000D7110000}"/>
    <cellStyle name="T_Danh muc pbo nguon von XSKT, XDCB nam 2009 chuyen qua nam 2010_KH TPCP vung TNB (03-1-2012) 2" xfId="3794" xr:uid="{00000000-0005-0000-0000-0000D8110000}"/>
    <cellStyle name="T_dieu chinh KH 2011 ngay 26-5-2011111" xfId="3795" xr:uid="{00000000-0005-0000-0000-0000D9110000}"/>
    <cellStyle name="T_dieu chinh KH 2011 ngay 26-5-2011111 2" xfId="3796" xr:uid="{00000000-0005-0000-0000-0000DA110000}"/>
    <cellStyle name="T_dieu chinh KH 2011 ngay 26-5-2011111_!1 1 bao cao giao KH ve HTCMT vung TNB   12-12-2011" xfId="3797" xr:uid="{00000000-0005-0000-0000-0000DB110000}"/>
    <cellStyle name="T_dieu chinh KH 2011 ngay 26-5-2011111_!1 1 bao cao giao KH ve HTCMT vung TNB   12-12-2011 2" xfId="3798" xr:uid="{00000000-0005-0000-0000-0000DC110000}"/>
    <cellStyle name="T_dieu chinh KH 2011 ngay 26-5-2011111_KH TPCP vung TNB (03-1-2012)" xfId="3799" xr:uid="{00000000-0005-0000-0000-0000DD110000}"/>
    <cellStyle name="T_dieu chinh KH 2011 ngay 26-5-2011111_KH TPCP vung TNB (03-1-2012) 2" xfId="3800" xr:uid="{00000000-0005-0000-0000-0000DE110000}"/>
    <cellStyle name="T_DK 2014-2015 final" xfId="3801" xr:uid="{00000000-0005-0000-0000-0000DF110000}"/>
    <cellStyle name="T_DK 2014-2015 final_05-12  KH trung han 2016-2020 - Liem Thinh edited" xfId="3802" xr:uid="{00000000-0005-0000-0000-0000E0110000}"/>
    <cellStyle name="T_DK 2014-2015 final_Copy of 05-12  KH trung han 2016-2020 - Liem Thinh edited (1)" xfId="3803" xr:uid="{00000000-0005-0000-0000-0000E1110000}"/>
    <cellStyle name="T_DK 2014-2015 new" xfId="3804" xr:uid="{00000000-0005-0000-0000-0000E2110000}"/>
    <cellStyle name="T_DK 2014-2015 new_05-12  KH trung han 2016-2020 - Liem Thinh edited" xfId="3805" xr:uid="{00000000-0005-0000-0000-0000E3110000}"/>
    <cellStyle name="T_DK 2014-2015 new_Copy of 05-12  KH trung han 2016-2020 - Liem Thinh edited (1)" xfId="3806" xr:uid="{00000000-0005-0000-0000-0000E4110000}"/>
    <cellStyle name="T_DK KH CBDT 2014 11-11-2013" xfId="3807" xr:uid="{00000000-0005-0000-0000-0000E5110000}"/>
    <cellStyle name="T_DK KH CBDT 2014 11-11-2013(1)" xfId="3808" xr:uid="{00000000-0005-0000-0000-0000E6110000}"/>
    <cellStyle name="T_DK KH CBDT 2014 11-11-2013(1)_05-12  KH trung han 2016-2020 - Liem Thinh edited" xfId="3809" xr:uid="{00000000-0005-0000-0000-0000E7110000}"/>
    <cellStyle name="T_DK KH CBDT 2014 11-11-2013(1)_Copy of 05-12  KH trung han 2016-2020 - Liem Thinh edited (1)" xfId="3810" xr:uid="{00000000-0005-0000-0000-0000E8110000}"/>
    <cellStyle name="T_DK KH CBDT 2014 11-11-2013_05-12  KH trung han 2016-2020 - Liem Thinh edited" xfId="3811" xr:uid="{00000000-0005-0000-0000-0000E9110000}"/>
    <cellStyle name="T_DK KH CBDT 2014 11-11-2013_Copy of 05-12  KH trung han 2016-2020 - Liem Thinh edited (1)" xfId="3812" xr:uid="{00000000-0005-0000-0000-0000EA110000}"/>
    <cellStyle name="T_DS KCH PHAN BO VON NSDP NAM 2010" xfId="3813" xr:uid="{00000000-0005-0000-0000-0000EB110000}"/>
    <cellStyle name="T_DS KCH PHAN BO VON NSDP NAM 2010 2" xfId="3814" xr:uid="{00000000-0005-0000-0000-0000EC110000}"/>
    <cellStyle name="T_DS KCH PHAN BO VON NSDP NAM 2010_!1 1 bao cao giao KH ve HTCMT vung TNB   12-12-2011" xfId="3815" xr:uid="{00000000-0005-0000-0000-0000ED110000}"/>
    <cellStyle name="T_DS KCH PHAN BO VON NSDP NAM 2010_!1 1 bao cao giao KH ve HTCMT vung TNB   12-12-2011 2" xfId="3816" xr:uid="{00000000-0005-0000-0000-0000EE110000}"/>
    <cellStyle name="T_DS KCH PHAN BO VON NSDP NAM 2010_KH TPCP vung TNB (03-1-2012)" xfId="3817" xr:uid="{00000000-0005-0000-0000-0000EF110000}"/>
    <cellStyle name="T_DS KCH PHAN BO VON NSDP NAM 2010_KH TPCP vung TNB (03-1-2012) 2" xfId="3818" xr:uid="{00000000-0005-0000-0000-0000F0110000}"/>
    <cellStyle name="T_Du an khoi cong moi nam 2010" xfId="3819" xr:uid="{00000000-0005-0000-0000-0000F1110000}"/>
    <cellStyle name="T_Du an khoi cong moi nam 2010 2" xfId="3820" xr:uid="{00000000-0005-0000-0000-0000F2110000}"/>
    <cellStyle name="T_Du an khoi cong moi nam 2010_!1 1 bao cao giao KH ve HTCMT vung TNB   12-12-2011" xfId="3821" xr:uid="{00000000-0005-0000-0000-0000F3110000}"/>
    <cellStyle name="T_Du an khoi cong moi nam 2010_!1 1 bao cao giao KH ve HTCMT vung TNB   12-12-2011 2" xfId="3822" xr:uid="{00000000-0005-0000-0000-0000F4110000}"/>
    <cellStyle name="T_Du an khoi cong moi nam 2010_KH TPCP vung TNB (03-1-2012)" xfId="3823" xr:uid="{00000000-0005-0000-0000-0000F5110000}"/>
    <cellStyle name="T_Du an khoi cong moi nam 2010_KH TPCP vung TNB (03-1-2012) 2" xfId="3824" xr:uid="{00000000-0005-0000-0000-0000F6110000}"/>
    <cellStyle name="T_DU AN TKQH VA CHUAN BI DAU TU NAM 2007 sua ngay 9-11" xfId="3825" xr:uid="{00000000-0005-0000-0000-0000F7110000}"/>
    <cellStyle name="T_DU AN TKQH VA CHUAN BI DAU TU NAM 2007 sua ngay 9-11 2" xfId="3826" xr:uid="{00000000-0005-0000-0000-0000F8110000}"/>
    <cellStyle name="T_DU AN TKQH VA CHUAN BI DAU TU NAM 2007 sua ngay 9-11_!1 1 bao cao giao KH ve HTCMT vung TNB   12-12-2011" xfId="3827" xr:uid="{00000000-0005-0000-0000-0000F9110000}"/>
    <cellStyle name="T_DU AN TKQH VA CHUAN BI DAU TU NAM 2007 sua ngay 9-11_!1 1 bao cao giao KH ve HTCMT vung TNB   12-12-2011 2" xfId="3828" xr:uid="{00000000-0005-0000-0000-0000FA110000}"/>
    <cellStyle name="T_DU AN TKQH VA CHUAN BI DAU TU NAM 2007 sua ngay 9-11_Bieu mau danh muc du an thuoc CTMTQG nam 2008" xfId="3829" xr:uid="{00000000-0005-0000-0000-0000FB110000}"/>
    <cellStyle name="T_DU AN TKQH VA CHUAN BI DAU TU NAM 2007 sua ngay 9-11_Bieu mau danh muc du an thuoc CTMTQG nam 2008 2" xfId="3830" xr:uid="{00000000-0005-0000-0000-0000FC110000}"/>
    <cellStyle name="T_DU AN TKQH VA CHUAN BI DAU TU NAM 2007 sua ngay 9-11_Bieu mau danh muc du an thuoc CTMTQG nam 2008_!1 1 bao cao giao KH ve HTCMT vung TNB   12-12-2011" xfId="3831" xr:uid="{00000000-0005-0000-0000-0000FD110000}"/>
    <cellStyle name="T_DU AN TKQH VA CHUAN BI DAU TU NAM 2007 sua ngay 9-11_Bieu mau danh muc du an thuoc CTMTQG nam 2008_!1 1 bao cao giao KH ve HTCMT vung TNB   12-12-2011 2" xfId="3832" xr:uid="{00000000-0005-0000-0000-0000FE110000}"/>
    <cellStyle name="T_DU AN TKQH VA CHUAN BI DAU TU NAM 2007 sua ngay 9-11_Bieu mau danh muc du an thuoc CTMTQG nam 2008_KH TPCP vung TNB (03-1-2012)" xfId="3833" xr:uid="{00000000-0005-0000-0000-0000FF110000}"/>
    <cellStyle name="T_DU AN TKQH VA CHUAN BI DAU TU NAM 2007 sua ngay 9-11_Bieu mau danh muc du an thuoc CTMTQG nam 2008_KH TPCP vung TNB (03-1-2012) 2" xfId="3834" xr:uid="{00000000-0005-0000-0000-000000120000}"/>
    <cellStyle name="T_DU AN TKQH VA CHUAN BI DAU TU NAM 2007 sua ngay 9-11_Du an khoi cong moi nam 2010" xfId="3835" xr:uid="{00000000-0005-0000-0000-000001120000}"/>
    <cellStyle name="T_DU AN TKQH VA CHUAN BI DAU TU NAM 2007 sua ngay 9-11_Du an khoi cong moi nam 2010 2" xfId="3836" xr:uid="{00000000-0005-0000-0000-000002120000}"/>
    <cellStyle name="T_DU AN TKQH VA CHUAN BI DAU TU NAM 2007 sua ngay 9-11_Du an khoi cong moi nam 2010_!1 1 bao cao giao KH ve HTCMT vung TNB   12-12-2011" xfId="3837" xr:uid="{00000000-0005-0000-0000-000003120000}"/>
    <cellStyle name="T_DU AN TKQH VA CHUAN BI DAU TU NAM 2007 sua ngay 9-11_Du an khoi cong moi nam 2010_!1 1 bao cao giao KH ve HTCMT vung TNB   12-12-2011 2" xfId="3838" xr:uid="{00000000-0005-0000-0000-000004120000}"/>
    <cellStyle name="T_DU AN TKQH VA CHUAN BI DAU TU NAM 2007 sua ngay 9-11_Du an khoi cong moi nam 2010_KH TPCP vung TNB (03-1-2012)" xfId="3839" xr:uid="{00000000-0005-0000-0000-000005120000}"/>
    <cellStyle name="T_DU AN TKQH VA CHUAN BI DAU TU NAM 2007 sua ngay 9-11_Du an khoi cong moi nam 2010_KH TPCP vung TNB (03-1-2012) 2" xfId="3840" xr:uid="{00000000-0005-0000-0000-000006120000}"/>
    <cellStyle name="T_DU AN TKQH VA CHUAN BI DAU TU NAM 2007 sua ngay 9-11_Ket qua phan bo von nam 2008" xfId="3841" xr:uid="{00000000-0005-0000-0000-000007120000}"/>
    <cellStyle name="T_DU AN TKQH VA CHUAN BI DAU TU NAM 2007 sua ngay 9-11_Ket qua phan bo von nam 2008 2" xfId="3842" xr:uid="{00000000-0005-0000-0000-000008120000}"/>
    <cellStyle name="T_DU AN TKQH VA CHUAN BI DAU TU NAM 2007 sua ngay 9-11_Ket qua phan bo von nam 2008_!1 1 bao cao giao KH ve HTCMT vung TNB   12-12-2011" xfId="3843" xr:uid="{00000000-0005-0000-0000-000009120000}"/>
    <cellStyle name="T_DU AN TKQH VA CHUAN BI DAU TU NAM 2007 sua ngay 9-11_Ket qua phan bo von nam 2008_!1 1 bao cao giao KH ve HTCMT vung TNB   12-12-2011 2" xfId="3844" xr:uid="{00000000-0005-0000-0000-00000A120000}"/>
    <cellStyle name="T_DU AN TKQH VA CHUAN BI DAU TU NAM 2007 sua ngay 9-11_Ket qua phan bo von nam 2008_KH TPCP vung TNB (03-1-2012)" xfId="3845" xr:uid="{00000000-0005-0000-0000-00000B120000}"/>
    <cellStyle name="T_DU AN TKQH VA CHUAN BI DAU TU NAM 2007 sua ngay 9-11_Ket qua phan bo von nam 2008_KH TPCP vung TNB (03-1-2012) 2" xfId="3846" xr:uid="{00000000-0005-0000-0000-00000C120000}"/>
    <cellStyle name="T_DU AN TKQH VA CHUAN BI DAU TU NAM 2007 sua ngay 9-11_KH TPCP vung TNB (03-1-2012)" xfId="3847" xr:uid="{00000000-0005-0000-0000-00000D120000}"/>
    <cellStyle name="T_DU AN TKQH VA CHUAN BI DAU TU NAM 2007 sua ngay 9-11_KH TPCP vung TNB (03-1-2012) 2" xfId="3848" xr:uid="{00000000-0005-0000-0000-00000E120000}"/>
    <cellStyle name="T_DU AN TKQH VA CHUAN BI DAU TU NAM 2007 sua ngay 9-11_KH XDCB_2008 lan 2 sua ngay 10-11" xfId="3849" xr:uid="{00000000-0005-0000-0000-00000F120000}"/>
    <cellStyle name="T_DU AN TKQH VA CHUAN BI DAU TU NAM 2007 sua ngay 9-11_KH XDCB_2008 lan 2 sua ngay 10-11 2" xfId="3850" xr:uid="{00000000-0005-0000-0000-000010120000}"/>
    <cellStyle name="T_DU AN TKQH VA CHUAN BI DAU TU NAM 2007 sua ngay 9-11_KH XDCB_2008 lan 2 sua ngay 10-11_!1 1 bao cao giao KH ve HTCMT vung TNB   12-12-2011" xfId="3851" xr:uid="{00000000-0005-0000-0000-000011120000}"/>
    <cellStyle name="T_DU AN TKQH VA CHUAN BI DAU TU NAM 2007 sua ngay 9-11_KH XDCB_2008 lan 2 sua ngay 10-11_!1 1 bao cao giao KH ve HTCMT vung TNB   12-12-2011 2" xfId="3852" xr:uid="{00000000-0005-0000-0000-000012120000}"/>
    <cellStyle name="T_DU AN TKQH VA CHUAN BI DAU TU NAM 2007 sua ngay 9-11_KH XDCB_2008 lan 2 sua ngay 10-11_KH TPCP vung TNB (03-1-2012)" xfId="3853" xr:uid="{00000000-0005-0000-0000-000013120000}"/>
    <cellStyle name="T_DU AN TKQH VA CHUAN BI DAU TU NAM 2007 sua ngay 9-11_KH XDCB_2008 lan 2 sua ngay 10-11_KH TPCP vung TNB (03-1-2012) 2" xfId="3854" xr:uid="{00000000-0005-0000-0000-000014120000}"/>
    <cellStyle name="T_du toan dieu chinh  20-8-2006" xfId="3855" xr:uid="{00000000-0005-0000-0000-000015120000}"/>
    <cellStyle name="T_du toan dieu chinh  20-8-2006 2" xfId="3856" xr:uid="{00000000-0005-0000-0000-000016120000}"/>
    <cellStyle name="T_du toan dieu chinh  20-8-2006_!1 1 bao cao giao KH ve HTCMT vung TNB   12-12-2011" xfId="3857" xr:uid="{00000000-0005-0000-0000-000017120000}"/>
    <cellStyle name="T_du toan dieu chinh  20-8-2006_!1 1 bao cao giao KH ve HTCMT vung TNB   12-12-2011 2" xfId="3858" xr:uid="{00000000-0005-0000-0000-000018120000}"/>
    <cellStyle name="T_du toan dieu chinh  20-8-2006_Bieu4HTMT" xfId="3859" xr:uid="{00000000-0005-0000-0000-000019120000}"/>
    <cellStyle name="T_du toan dieu chinh  20-8-2006_Bieu4HTMT 2" xfId="3860" xr:uid="{00000000-0005-0000-0000-00001A120000}"/>
    <cellStyle name="T_du toan dieu chinh  20-8-2006_Bieu4HTMT_!1 1 bao cao giao KH ve HTCMT vung TNB   12-12-2011" xfId="3861" xr:uid="{00000000-0005-0000-0000-00001B120000}"/>
    <cellStyle name="T_du toan dieu chinh  20-8-2006_Bieu4HTMT_!1 1 bao cao giao KH ve HTCMT vung TNB   12-12-2011 2" xfId="3862" xr:uid="{00000000-0005-0000-0000-00001C120000}"/>
    <cellStyle name="T_du toan dieu chinh  20-8-2006_Bieu4HTMT_KH TPCP vung TNB (03-1-2012)" xfId="3863" xr:uid="{00000000-0005-0000-0000-00001D120000}"/>
    <cellStyle name="T_du toan dieu chinh  20-8-2006_Bieu4HTMT_KH TPCP vung TNB (03-1-2012) 2" xfId="3864" xr:uid="{00000000-0005-0000-0000-00001E120000}"/>
    <cellStyle name="T_du toan dieu chinh  20-8-2006_KH TPCP vung TNB (03-1-2012)" xfId="3865" xr:uid="{00000000-0005-0000-0000-00001F120000}"/>
    <cellStyle name="T_du toan dieu chinh  20-8-2006_KH TPCP vung TNB (03-1-2012) 2" xfId="3866" xr:uid="{00000000-0005-0000-0000-000020120000}"/>
    <cellStyle name="T_giao KH 2011 ngay 10-12-2010" xfId="3867" xr:uid="{00000000-0005-0000-0000-000021120000}"/>
    <cellStyle name="T_giao KH 2011 ngay 10-12-2010 2" xfId="3868" xr:uid="{00000000-0005-0000-0000-000022120000}"/>
    <cellStyle name="T_giao KH 2011 ngay 10-12-2010_!1 1 bao cao giao KH ve HTCMT vung TNB   12-12-2011" xfId="3869" xr:uid="{00000000-0005-0000-0000-000023120000}"/>
    <cellStyle name="T_giao KH 2011 ngay 10-12-2010_!1 1 bao cao giao KH ve HTCMT vung TNB   12-12-2011 2" xfId="3870" xr:uid="{00000000-0005-0000-0000-000024120000}"/>
    <cellStyle name="T_giao KH 2011 ngay 10-12-2010_KH TPCP vung TNB (03-1-2012)" xfId="3871" xr:uid="{00000000-0005-0000-0000-000025120000}"/>
    <cellStyle name="T_giao KH 2011 ngay 10-12-2010_KH TPCP vung TNB (03-1-2012) 2" xfId="3872" xr:uid="{00000000-0005-0000-0000-000026120000}"/>
    <cellStyle name="T_Ht-PTq1-03" xfId="3873" xr:uid="{00000000-0005-0000-0000-000027120000}"/>
    <cellStyle name="T_Ht-PTq1-03 2" xfId="3874" xr:uid="{00000000-0005-0000-0000-000028120000}"/>
    <cellStyle name="T_Ht-PTq1-03_!1 1 bao cao giao KH ve HTCMT vung TNB   12-12-2011" xfId="3875" xr:uid="{00000000-0005-0000-0000-000029120000}"/>
    <cellStyle name="T_Ht-PTq1-03_!1 1 bao cao giao KH ve HTCMT vung TNB   12-12-2011 2" xfId="3876" xr:uid="{00000000-0005-0000-0000-00002A120000}"/>
    <cellStyle name="T_Ht-PTq1-03_kien giang 2" xfId="3877" xr:uid="{00000000-0005-0000-0000-00002B120000}"/>
    <cellStyle name="T_Ht-PTq1-03_kien giang 2 2" xfId="3878" xr:uid="{00000000-0005-0000-0000-00002C120000}"/>
    <cellStyle name="T_Ke hoach KTXH  nam 2009_PKT thang 11 nam 2008" xfId="3879" xr:uid="{00000000-0005-0000-0000-00002D120000}"/>
    <cellStyle name="T_Ke hoach KTXH  nam 2009_PKT thang 11 nam 2008 2" xfId="3880" xr:uid="{00000000-0005-0000-0000-00002E120000}"/>
    <cellStyle name="T_Ke hoach KTXH  nam 2009_PKT thang 11 nam 2008_!1 1 bao cao giao KH ve HTCMT vung TNB   12-12-2011" xfId="3881" xr:uid="{00000000-0005-0000-0000-00002F120000}"/>
    <cellStyle name="T_Ke hoach KTXH  nam 2009_PKT thang 11 nam 2008_!1 1 bao cao giao KH ve HTCMT vung TNB   12-12-2011 2" xfId="3882" xr:uid="{00000000-0005-0000-0000-000030120000}"/>
    <cellStyle name="T_Ke hoach KTXH  nam 2009_PKT thang 11 nam 2008_KH TPCP vung TNB (03-1-2012)" xfId="3883" xr:uid="{00000000-0005-0000-0000-000031120000}"/>
    <cellStyle name="T_Ke hoach KTXH  nam 2009_PKT thang 11 nam 2008_KH TPCP vung TNB (03-1-2012) 2" xfId="3884" xr:uid="{00000000-0005-0000-0000-000032120000}"/>
    <cellStyle name="T_Ket qua dau thau" xfId="3885" xr:uid="{00000000-0005-0000-0000-000033120000}"/>
    <cellStyle name="T_Ket qua dau thau 2" xfId="3886" xr:uid="{00000000-0005-0000-0000-000034120000}"/>
    <cellStyle name="T_Ket qua dau thau_!1 1 bao cao giao KH ve HTCMT vung TNB   12-12-2011" xfId="3887" xr:uid="{00000000-0005-0000-0000-000035120000}"/>
    <cellStyle name="T_Ket qua dau thau_!1 1 bao cao giao KH ve HTCMT vung TNB   12-12-2011 2" xfId="3888" xr:uid="{00000000-0005-0000-0000-000036120000}"/>
    <cellStyle name="T_Ket qua dau thau_KH TPCP vung TNB (03-1-2012)" xfId="3889" xr:uid="{00000000-0005-0000-0000-000037120000}"/>
    <cellStyle name="T_Ket qua dau thau_KH TPCP vung TNB (03-1-2012) 2" xfId="3890" xr:uid="{00000000-0005-0000-0000-000038120000}"/>
    <cellStyle name="T_Ket qua phan bo von nam 2008" xfId="3891" xr:uid="{00000000-0005-0000-0000-000039120000}"/>
    <cellStyle name="T_Ket qua phan bo von nam 2008 2" xfId="3892" xr:uid="{00000000-0005-0000-0000-00003A120000}"/>
    <cellStyle name="T_Ket qua phan bo von nam 2008_!1 1 bao cao giao KH ve HTCMT vung TNB   12-12-2011" xfId="3893" xr:uid="{00000000-0005-0000-0000-00003B120000}"/>
    <cellStyle name="T_Ket qua phan bo von nam 2008_!1 1 bao cao giao KH ve HTCMT vung TNB   12-12-2011 2" xfId="3894" xr:uid="{00000000-0005-0000-0000-00003C120000}"/>
    <cellStyle name="T_Ket qua phan bo von nam 2008_KH TPCP vung TNB (03-1-2012)" xfId="3895" xr:uid="{00000000-0005-0000-0000-00003D120000}"/>
    <cellStyle name="T_Ket qua phan bo von nam 2008_KH TPCP vung TNB (03-1-2012) 2" xfId="3896" xr:uid="{00000000-0005-0000-0000-00003E120000}"/>
    <cellStyle name="T_KH 2011-2015" xfId="3899" xr:uid="{00000000-0005-0000-0000-00003F120000}"/>
    <cellStyle name="T_KH TPCP vung TNB (03-1-2012)" xfId="3900" xr:uid="{00000000-0005-0000-0000-000040120000}"/>
    <cellStyle name="T_KH TPCP vung TNB (03-1-2012) 2" xfId="3901" xr:uid="{00000000-0005-0000-0000-000041120000}"/>
    <cellStyle name="T_KH XDCB_2008 lan 2 sua ngay 10-11" xfId="3902" xr:uid="{00000000-0005-0000-0000-000042120000}"/>
    <cellStyle name="T_KH XDCB_2008 lan 2 sua ngay 10-11 2" xfId="3903" xr:uid="{00000000-0005-0000-0000-000043120000}"/>
    <cellStyle name="T_KH XDCB_2008 lan 2 sua ngay 10-11_!1 1 bao cao giao KH ve HTCMT vung TNB   12-12-2011" xfId="3904" xr:uid="{00000000-0005-0000-0000-000044120000}"/>
    <cellStyle name="T_KH XDCB_2008 lan 2 sua ngay 10-11_!1 1 bao cao giao KH ve HTCMT vung TNB   12-12-2011 2" xfId="3905" xr:uid="{00000000-0005-0000-0000-000045120000}"/>
    <cellStyle name="T_KH XDCB_2008 lan 2 sua ngay 10-11_KH TPCP vung TNB (03-1-2012)" xfId="3906" xr:uid="{00000000-0005-0000-0000-000046120000}"/>
    <cellStyle name="T_KH XDCB_2008 lan 2 sua ngay 10-11_KH TPCP vung TNB (03-1-2012) 2" xfId="3907" xr:uid="{00000000-0005-0000-0000-000047120000}"/>
    <cellStyle name="T_kien giang 2" xfId="3897" xr:uid="{00000000-0005-0000-0000-000048120000}"/>
    <cellStyle name="T_kien giang 2 2" xfId="3898" xr:uid="{00000000-0005-0000-0000-000049120000}"/>
    <cellStyle name="T_Me_Tri_6_07" xfId="3908" xr:uid="{00000000-0005-0000-0000-00004A120000}"/>
    <cellStyle name="T_Me_Tri_6_07 2" xfId="3909" xr:uid="{00000000-0005-0000-0000-00004B120000}"/>
    <cellStyle name="T_Me_Tri_6_07_!1 1 bao cao giao KH ve HTCMT vung TNB   12-12-2011" xfId="3910" xr:uid="{00000000-0005-0000-0000-00004C120000}"/>
    <cellStyle name="T_Me_Tri_6_07_!1 1 bao cao giao KH ve HTCMT vung TNB   12-12-2011 2" xfId="3911" xr:uid="{00000000-0005-0000-0000-00004D120000}"/>
    <cellStyle name="T_Me_Tri_6_07_Bieu4HTMT" xfId="3912" xr:uid="{00000000-0005-0000-0000-00004E120000}"/>
    <cellStyle name="T_Me_Tri_6_07_Bieu4HTMT 2" xfId="3913" xr:uid="{00000000-0005-0000-0000-00004F120000}"/>
    <cellStyle name="T_Me_Tri_6_07_Bieu4HTMT_!1 1 bao cao giao KH ve HTCMT vung TNB   12-12-2011" xfId="3914" xr:uid="{00000000-0005-0000-0000-000050120000}"/>
    <cellStyle name="T_Me_Tri_6_07_Bieu4HTMT_!1 1 bao cao giao KH ve HTCMT vung TNB   12-12-2011 2" xfId="3915" xr:uid="{00000000-0005-0000-0000-000051120000}"/>
    <cellStyle name="T_Me_Tri_6_07_Bieu4HTMT_KH TPCP vung TNB (03-1-2012)" xfId="3916" xr:uid="{00000000-0005-0000-0000-000052120000}"/>
    <cellStyle name="T_Me_Tri_6_07_Bieu4HTMT_KH TPCP vung TNB (03-1-2012) 2" xfId="3917" xr:uid="{00000000-0005-0000-0000-000053120000}"/>
    <cellStyle name="T_Me_Tri_6_07_KH TPCP vung TNB (03-1-2012)" xfId="3918" xr:uid="{00000000-0005-0000-0000-000054120000}"/>
    <cellStyle name="T_Me_Tri_6_07_KH TPCP vung TNB (03-1-2012) 2" xfId="3919" xr:uid="{00000000-0005-0000-0000-000055120000}"/>
    <cellStyle name="T_N2 thay dat (N1-1)" xfId="3920" xr:uid="{00000000-0005-0000-0000-000056120000}"/>
    <cellStyle name="T_N2 thay dat (N1-1) 2" xfId="3921" xr:uid="{00000000-0005-0000-0000-000057120000}"/>
    <cellStyle name="T_N2 thay dat (N1-1)_!1 1 bao cao giao KH ve HTCMT vung TNB   12-12-2011" xfId="3922" xr:uid="{00000000-0005-0000-0000-000058120000}"/>
    <cellStyle name="T_N2 thay dat (N1-1)_!1 1 bao cao giao KH ve HTCMT vung TNB   12-12-2011 2" xfId="3923" xr:uid="{00000000-0005-0000-0000-000059120000}"/>
    <cellStyle name="T_N2 thay dat (N1-1)_Bieu4HTMT" xfId="3924" xr:uid="{00000000-0005-0000-0000-00005A120000}"/>
    <cellStyle name="T_N2 thay dat (N1-1)_Bieu4HTMT 2" xfId="3925" xr:uid="{00000000-0005-0000-0000-00005B120000}"/>
    <cellStyle name="T_N2 thay dat (N1-1)_Bieu4HTMT_!1 1 bao cao giao KH ve HTCMT vung TNB   12-12-2011" xfId="3926" xr:uid="{00000000-0005-0000-0000-00005C120000}"/>
    <cellStyle name="T_N2 thay dat (N1-1)_Bieu4HTMT_!1 1 bao cao giao KH ve HTCMT vung TNB   12-12-2011 2" xfId="3927" xr:uid="{00000000-0005-0000-0000-00005D120000}"/>
    <cellStyle name="T_N2 thay dat (N1-1)_Bieu4HTMT_KH TPCP vung TNB (03-1-2012)" xfId="3928" xr:uid="{00000000-0005-0000-0000-00005E120000}"/>
    <cellStyle name="T_N2 thay dat (N1-1)_Bieu4HTMT_KH TPCP vung TNB (03-1-2012) 2" xfId="3929" xr:uid="{00000000-0005-0000-0000-00005F120000}"/>
    <cellStyle name="T_N2 thay dat (N1-1)_KH TPCP vung TNB (03-1-2012)" xfId="3930" xr:uid="{00000000-0005-0000-0000-000060120000}"/>
    <cellStyle name="T_N2 thay dat (N1-1)_KH TPCP vung TNB (03-1-2012) 2" xfId="3931" xr:uid="{00000000-0005-0000-0000-000061120000}"/>
    <cellStyle name="T_Phuong an can doi nam 2008" xfId="3932" xr:uid="{00000000-0005-0000-0000-000062120000}"/>
    <cellStyle name="T_Phuong an can doi nam 2008 2" xfId="3933" xr:uid="{00000000-0005-0000-0000-000063120000}"/>
    <cellStyle name="T_Phuong an can doi nam 2008_!1 1 bao cao giao KH ve HTCMT vung TNB   12-12-2011" xfId="3934" xr:uid="{00000000-0005-0000-0000-000064120000}"/>
    <cellStyle name="T_Phuong an can doi nam 2008_!1 1 bao cao giao KH ve HTCMT vung TNB   12-12-2011 2" xfId="3935" xr:uid="{00000000-0005-0000-0000-000065120000}"/>
    <cellStyle name="T_Phuong an can doi nam 2008_KH TPCP vung TNB (03-1-2012)" xfId="3936" xr:uid="{00000000-0005-0000-0000-000066120000}"/>
    <cellStyle name="T_Phuong an can doi nam 2008_KH TPCP vung TNB (03-1-2012) 2" xfId="3937" xr:uid="{00000000-0005-0000-0000-000067120000}"/>
    <cellStyle name="T_Seagame(BTL)" xfId="3938" xr:uid="{00000000-0005-0000-0000-000068120000}"/>
    <cellStyle name="T_Seagame(BTL) 2" xfId="3939" xr:uid="{00000000-0005-0000-0000-000069120000}"/>
    <cellStyle name="T_So GTVT" xfId="3940" xr:uid="{00000000-0005-0000-0000-00006A120000}"/>
    <cellStyle name="T_So GTVT 2" xfId="3941" xr:uid="{00000000-0005-0000-0000-00006B120000}"/>
    <cellStyle name="T_So GTVT_!1 1 bao cao giao KH ve HTCMT vung TNB   12-12-2011" xfId="3942" xr:uid="{00000000-0005-0000-0000-00006C120000}"/>
    <cellStyle name="T_So GTVT_!1 1 bao cao giao KH ve HTCMT vung TNB   12-12-2011 2" xfId="3943" xr:uid="{00000000-0005-0000-0000-00006D120000}"/>
    <cellStyle name="T_So GTVT_KH TPCP vung TNB (03-1-2012)" xfId="3944" xr:uid="{00000000-0005-0000-0000-00006E120000}"/>
    <cellStyle name="T_So GTVT_KH TPCP vung TNB (03-1-2012) 2" xfId="3945" xr:uid="{00000000-0005-0000-0000-00006F120000}"/>
    <cellStyle name="T_tai co cau dau tu (tong hop)1" xfId="3946" xr:uid="{00000000-0005-0000-0000-000070120000}"/>
    <cellStyle name="T_TDT + duong(8-5-07)" xfId="3947" xr:uid="{00000000-0005-0000-0000-000071120000}"/>
    <cellStyle name="T_TDT + duong(8-5-07) 2" xfId="3948" xr:uid="{00000000-0005-0000-0000-000072120000}"/>
    <cellStyle name="T_TDT + duong(8-5-07)_!1 1 bao cao giao KH ve HTCMT vung TNB   12-12-2011" xfId="3949" xr:uid="{00000000-0005-0000-0000-000073120000}"/>
    <cellStyle name="T_TDT + duong(8-5-07)_!1 1 bao cao giao KH ve HTCMT vung TNB   12-12-2011 2" xfId="3950" xr:uid="{00000000-0005-0000-0000-000074120000}"/>
    <cellStyle name="T_TDT + duong(8-5-07)_Bieu4HTMT" xfId="3951" xr:uid="{00000000-0005-0000-0000-000075120000}"/>
    <cellStyle name="T_TDT + duong(8-5-07)_Bieu4HTMT 2" xfId="3952" xr:uid="{00000000-0005-0000-0000-000076120000}"/>
    <cellStyle name="T_TDT + duong(8-5-07)_Bieu4HTMT_!1 1 bao cao giao KH ve HTCMT vung TNB   12-12-2011" xfId="3953" xr:uid="{00000000-0005-0000-0000-000077120000}"/>
    <cellStyle name="T_TDT + duong(8-5-07)_Bieu4HTMT_!1 1 bao cao giao KH ve HTCMT vung TNB   12-12-2011 2" xfId="3954" xr:uid="{00000000-0005-0000-0000-000078120000}"/>
    <cellStyle name="T_TDT + duong(8-5-07)_Bieu4HTMT_KH TPCP vung TNB (03-1-2012)" xfId="3955" xr:uid="{00000000-0005-0000-0000-000079120000}"/>
    <cellStyle name="T_TDT + duong(8-5-07)_Bieu4HTMT_KH TPCP vung TNB (03-1-2012) 2" xfId="3956" xr:uid="{00000000-0005-0000-0000-00007A120000}"/>
    <cellStyle name="T_TDT + duong(8-5-07)_KH TPCP vung TNB (03-1-2012)" xfId="3957" xr:uid="{00000000-0005-0000-0000-00007B120000}"/>
    <cellStyle name="T_TDT + duong(8-5-07)_KH TPCP vung TNB (03-1-2012) 2" xfId="3958" xr:uid="{00000000-0005-0000-0000-00007C120000}"/>
    <cellStyle name="T_tham_tra_du_toan" xfId="3961" xr:uid="{00000000-0005-0000-0000-00007D120000}"/>
    <cellStyle name="T_tham_tra_du_toan 2" xfId="3962" xr:uid="{00000000-0005-0000-0000-00007E120000}"/>
    <cellStyle name="T_tham_tra_du_toan_!1 1 bao cao giao KH ve HTCMT vung TNB   12-12-2011" xfId="3963" xr:uid="{00000000-0005-0000-0000-00007F120000}"/>
    <cellStyle name="T_tham_tra_du_toan_!1 1 bao cao giao KH ve HTCMT vung TNB   12-12-2011 2" xfId="3964" xr:uid="{00000000-0005-0000-0000-000080120000}"/>
    <cellStyle name="T_tham_tra_du_toan_Bieu4HTMT" xfId="3965" xr:uid="{00000000-0005-0000-0000-000081120000}"/>
    <cellStyle name="T_tham_tra_du_toan_Bieu4HTMT 2" xfId="3966" xr:uid="{00000000-0005-0000-0000-000082120000}"/>
    <cellStyle name="T_tham_tra_du_toan_Bieu4HTMT_!1 1 bao cao giao KH ve HTCMT vung TNB   12-12-2011" xfId="3967" xr:uid="{00000000-0005-0000-0000-000083120000}"/>
    <cellStyle name="T_tham_tra_du_toan_Bieu4HTMT_!1 1 bao cao giao KH ve HTCMT vung TNB   12-12-2011 2" xfId="3968" xr:uid="{00000000-0005-0000-0000-000084120000}"/>
    <cellStyle name="T_tham_tra_du_toan_Bieu4HTMT_KH TPCP vung TNB (03-1-2012)" xfId="3969" xr:uid="{00000000-0005-0000-0000-000085120000}"/>
    <cellStyle name="T_tham_tra_du_toan_Bieu4HTMT_KH TPCP vung TNB (03-1-2012) 2" xfId="3970" xr:uid="{00000000-0005-0000-0000-000086120000}"/>
    <cellStyle name="T_tham_tra_du_toan_KH TPCP vung TNB (03-1-2012)" xfId="3971" xr:uid="{00000000-0005-0000-0000-000087120000}"/>
    <cellStyle name="T_tham_tra_du_toan_KH TPCP vung TNB (03-1-2012) 2" xfId="3972" xr:uid="{00000000-0005-0000-0000-000088120000}"/>
    <cellStyle name="T_Thiet bi" xfId="3973" xr:uid="{00000000-0005-0000-0000-000089120000}"/>
    <cellStyle name="T_Thiet bi 2" xfId="3974" xr:uid="{00000000-0005-0000-0000-00008A120000}"/>
    <cellStyle name="T_Thiet bi_!1 1 bao cao giao KH ve HTCMT vung TNB   12-12-2011" xfId="3975" xr:uid="{00000000-0005-0000-0000-00008B120000}"/>
    <cellStyle name="T_Thiet bi_!1 1 bao cao giao KH ve HTCMT vung TNB   12-12-2011 2" xfId="3976" xr:uid="{00000000-0005-0000-0000-00008C120000}"/>
    <cellStyle name="T_Thiet bi_Bieu4HTMT" xfId="3977" xr:uid="{00000000-0005-0000-0000-00008D120000}"/>
    <cellStyle name="T_Thiet bi_Bieu4HTMT 2" xfId="3978" xr:uid="{00000000-0005-0000-0000-00008E120000}"/>
    <cellStyle name="T_Thiet bi_Bieu4HTMT_!1 1 bao cao giao KH ve HTCMT vung TNB   12-12-2011" xfId="3979" xr:uid="{00000000-0005-0000-0000-00008F120000}"/>
    <cellStyle name="T_Thiet bi_Bieu4HTMT_!1 1 bao cao giao KH ve HTCMT vung TNB   12-12-2011 2" xfId="3980" xr:uid="{00000000-0005-0000-0000-000090120000}"/>
    <cellStyle name="T_Thiet bi_Bieu4HTMT_KH TPCP vung TNB (03-1-2012)" xfId="3981" xr:uid="{00000000-0005-0000-0000-000091120000}"/>
    <cellStyle name="T_Thiet bi_Bieu4HTMT_KH TPCP vung TNB (03-1-2012) 2" xfId="3982" xr:uid="{00000000-0005-0000-0000-000092120000}"/>
    <cellStyle name="T_Thiet bi_KH TPCP vung TNB (03-1-2012)" xfId="3983" xr:uid="{00000000-0005-0000-0000-000093120000}"/>
    <cellStyle name="T_Thiet bi_KH TPCP vung TNB (03-1-2012) 2" xfId="3984" xr:uid="{00000000-0005-0000-0000-000094120000}"/>
    <cellStyle name="T_TK_HT" xfId="3959" xr:uid="{00000000-0005-0000-0000-000095120000}"/>
    <cellStyle name="T_TK_HT 2" xfId="3960" xr:uid="{00000000-0005-0000-0000-000096120000}"/>
    <cellStyle name="T_Van Ban 2007" xfId="3985" xr:uid="{00000000-0005-0000-0000-000097120000}"/>
    <cellStyle name="T_Van Ban 2007_15_10_2013 BC nhu cau von doi ung ODA (2014-2016) ngay 15102013 Sua" xfId="3986" xr:uid="{00000000-0005-0000-0000-000098120000}"/>
    <cellStyle name="T_Van Ban 2007_bao cao phan bo KHDT 2011(final)" xfId="3987" xr:uid="{00000000-0005-0000-0000-000099120000}"/>
    <cellStyle name="T_Van Ban 2007_bao cao phan bo KHDT 2011(final)_BC nhu cau von doi ung ODA nganh NN (BKH)" xfId="3988" xr:uid="{00000000-0005-0000-0000-00009A120000}"/>
    <cellStyle name="T_Van Ban 2007_bao cao phan bo KHDT 2011(final)_BC Tai co cau (bieu TH)" xfId="3989" xr:uid="{00000000-0005-0000-0000-00009B120000}"/>
    <cellStyle name="T_Van Ban 2007_bao cao phan bo KHDT 2011(final)_DK 2014-2015 final" xfId="3990" xr:uid="{00000000-0005-0000-0000-00009C120000}"/>
    <cellStyle name="T_Van Ban 2007_bao cao phan bo KHDT 2011(final)_DK 2014-2015 new" xfId="3991" xr:uid="{00000000-0005-0000-0000-00009D120000}"/>
    <cellStyle name="T_Van Ban 2007_bao cao phan bo KHDT 2011(final)_DK KH CBDT 2014 11-11-2013" xfId="3992" xr:uid="{00000000-0005-0000-0000-00009E120000}"/>
    <cellStyle name="T_Van Ban 2007_bao cao phan bo KHDT 2011(final)_DK KH CBDT 2014 11-11-2013(1)" xfId="3993" xr:uid="{00000000-0005-0000-0000-00009F120000}"/>
    <cellStyle name="T_Van Ban 2007_bao cao phan bo KHDT 2011(final)_KH 2011-2015" xfId="3994" xr:uid="{00000000-0005-0000-0000-0000A0120000}"/>
    <cellStyle name="T_Van Ban 2007_bao cao phan bo KHDT 2011(final)_tai co cau dau tu (tong hop)1" xfId="3995" xr:uid="{00000000-0005-0000-0000-0000A1120000}"/>
    <cellStyle name="T_Van Ban 2007_BC nhu cau von doi ung ODA nganh NN (BKH)" xfId="3996" xr:uid="{00000000-0005-0000-0000-0000A2120000}"/>
    <cellStyle name="T_Van Ban 2007_BC nhu cau von doi ung ODA nganh NN (BKH)_05-12  KH trung han 2016-2020 - Liem Thinh edited" xfId="3997" xr:uid="{00000000-0005-0000-0000-0000A3120000}"/>
    <cellStyle name="T_Van Ban 2007_BC nhu cau von doi ung ODA nganh NN (BKH)_Copy of 05-12  KH trung han 2016-2020 - Liem Thinh edited (1)" xfId="3998" xr:uid="{00000000-0005-0000-0000-0000A4120000}"/>
    <cellStyle name="T_Van Ban 2007_BC Tai co cau (bieu TH)" xfId="3999" xr:uid="{00000000-0005-0000-0000-0000A5120000}"/>
    <cellStyle name="T_Van Ban 2007_BC Tai co cau (bieu TH)_05-12  KH trung han 2016-2020 - Liem Thinh edited" xfId="4000" xr:uid="{00000000-0005-0000-0000-0000A6120000}"/>
    <cellStyle name="T_Van Ban 2007_BC Tai co cau (bieu TH)_Copy of 05-12  KH trung han 2016-2020 - Liem Thinh edited (1)" xfId="4001" xr:uid="{00000000-0005-0000-0000-0000A7120000}"/>
    <cellStyle name="T_Van Ban 2007_DK 2014-2015 final" xfId="4002" xr:uid="{00000000-0005-0000-0000-0000A8120000}"/>
    <cellStyle name="T_Van Ban 2007_DK 2014-2015 final_05-12  KH trung han 2016-2020 - Liem Thinh edited" xfId="4003" xr:uid="{00000000-0005-0000-0000-0000A9120000}"/>
    <cellStyle name="T_Van Ban 2007_DK 2014-2015 final_Copy of 05-12  KH trung han 2016-2020 - Liem Thinh edited (1)" xfId="4004" xr:uid="{00000000-0005-0000-0000-0000AA120000}"/>
    <cellStyle name="T_Van Ban 2007_DK 2014-2015 new" xfId="4005" xr:uid="{00000000-0005-0000-0000-0000AB120000}"/>
    <cellStyle name="T_Van Ban 2007_DK 2014-2015 new_05-12  KH trung han 2016-2020 - Liem Thinh edited" xfId="4006" xr:uid="{00000000-0005-0000-0000-0000AC120000}"/>
    <cellStyle name="T_Van Ban 2007_DK 2014-2015 new_Copy of 05-12  KH trung han 2016-2020 - Liem Thinh edited (1)" xfId="4007" xr:uid="{00000000-0005-0000-0000-0000AD120000}"/>
    <cellStyle name="T_Van Ban 2007_DK KH CBDT 2014 11-11-2013" xfId="4008" xr:uid="{00000000-0005-0000-0000-0000AE120000}"/>
    <cellStyle name="T_Van Ban 2007_DK KH CBDT 2014 11-11-2013(1)" xfId="4009" xr:uid="{00000000-0005-0000-0000-0000AF120000}"/>
    <cellStyle name="T_Van Ban 2007_DK KH CBDT 2014 11-11-2013(1)_05-12  KH trung han 2016-2020 - Liem Thinh edited" xfId="4010" xr:uid="{00000000-0005-0000-0000-0000B0120000}"/>
    <cellStyle name="T_Van Ban 2007_DK KH CBDT 2014 11-11-2013(1)_Copy of 05-12  KH trung han 2016-2020 - Liem Thinh edited (1)" xfId="4011" xr:uid="{00000000-0005-0000-0000-0000B1120000}"/>
    <cellStyle name="T_Van Ban 2007_DK KH CBDT 2014 11-11-2013_05-12  KH trung han 2016-2020 - Liem Thinh edited" xfId="4012" xr:uid="{00000000-0005-0000-0000-0000B2120000}"/>
    <cellStyle name="T_Van Ban 2007_DK KH CBDT 2014 11-11-2013_Copy of 05-12  KH trung han 2016-2020 - Liem Thinh edited (1)" xfId="4013" xr:uid="{00000000-0005-0000-0000-0000B3120000}"/>
    <cellStyle name="T_Van Ban 2008" xfId="4014" xr:uid="{00000000-0005-0000-0000-0000B4120000}"/>
    <cellStyle name="T_Van Ban 2008_15_10_2013 BC nhu cau von doi ung ODA (2014-2016) ngay 15102013 Sua" xfId="4015" xr:uid="{00000000-0005-0000-0000-0000B5120000}"/>
    <cellStyle name="T_Van Ban 2008_bao cao phan bo KHDT 2011(final)" xfId="4016" xr:uid="{00000000-0005-0000-0000-0000B6120000}"/>
    <cellStyle name="T_Van Ban 2008_bao cao phan bo KHDT 2011(final)_BC nhu cau von doi ung ODA nganh NN (BKH)" xfId="4017" xr:uid="{00000000-0005-0000-0000-0000B7120000}"/>
    <cellStyle name="T_Van Ban 2008_bao cao phan bo KHDT 2011(final)_BC Tai co cau (bieu TH)" xfId="4018" xr:uid="{00000000-0005-0000-0000-0000B8120000}"/>
    <cellStyle name="T_Van Ban 2008_bao cao phan bo KHDT 2011(final)_DK 2014-2015 final" xfId="4019" xr:uid="{00000000-0005-0000-0000-0000B9120000}"/>
    <cellStyle name="T_Van Ban 2008_bao cao phan bo KHDT 2011(final)_DK 2014-2015 new" xfId="4020" xr:uid="{00000000-0005-0000-0000-0000BA120000}"/>
    <cellStyle name="T_Van Ban 2008_bao cao phan bo KHDT 2011(final)_DK KH CBDT 2014 11-11-2013" xfId="4021" xr:uid="{00000000-0005-0000-0000-0000BB120000}"/>
    <cellStyle name="T_Van Ban 2008_bao cao phan bo KHDT 2011(final)_DK KH CBDT 2014 11-11-2013(1)" xfId="4022" xr:uid="{00000000-0005-0000-0000-0000BC120000}"/>
    <cellStyle name="T_Van Ban 2008_bao cao phan bo KHDT 2011(final)_KH 2011-2015" xfId="4023" xr:uid="{00000000-0005-0000-0000-0000BD120000}"/>
    <cellStyle name="T_Van Ban 2008_bao cao phan bo KHDT 2011(final)_tai co cau dau tu (tong hop)1" xfId="4024" xr:uid="{00000000-0005-0000-0000-0000BE120000}"/>
    <cellStyle name="T_Van Ban 2008_BC nhu cau von doi ung ODA nganh NN (BKH)" xfId="4025" xr:uid="{00000000-0005-0000-0000-0000BF120000}"/>
    <cellStyle name="T_Van Ban 2008_BC nhu cau von doi ung ODA nganh NN (BKH)_05-12  KH trung han 2016-2020 - Liem Thinh edited" xfId="4026" xr:uid="{00000000-0005-0000-0000-0000C0120000}"/>
    <cellStyle name="T_Van Ban 2008_BC nhu cau von doi ung ODA nganh NN (BKH)_Copy of 05-12  KH trung han 2016-2020 - Liem Thinh edited (1)" xfId="4027" xr:uid="{00000000-0005-0000-0000-0000C1120000}"/>
    <cellStyle name="T_Van Ban 2008_BC Tai co cau (bieu TH)" xfId="4028" xr:uid="{00000000-0005-0000-0000-0000C2120000}"/>
    <cellStyle name="T_Van Ban 2008_BC Tai co cau (bieu TH)_05-12  KH trung han 2016-2020 - Liem Thinh edited" xfId="4029" xr:uid="{00000000-0005-0000-0000-0000C3120000}"/>
    <cellStyle name="T_Van Ban 2008_BC Tai co cau (bieu TH)_Copy of 05-12  KH trung han 2016-2020 - Liem Thinh edited (1)" xfId="4030" xr:uid="{00000000-0005-0000-0000-0000C4120000}"/>
    <cellStyle name="T_Van Ban 2008_DK 2014-2015 final" xfId="4031" xr:uid="{00000000-0005-0000-0000-0000C5120000}"/>
    <cellStyle name="T_Van Ban 2008_DK 2014-2015 final_05-12  KH trung han 2016-2020 - Liem Thinh edited" xfId="4032" xr:uid="{00000000-0005-0000-0000-0000C6120000}"/>
    <cellStyle name="T_Van Ban 2008_DK 2014-2015 final_Copy of 05-12  KH trung han 2016-2020 - Liem Thinh edited (1)" xfId="4033" xr:uid="{00000000-0005-0000-0000-0000C7120000}"/>
    <cellStyle name="T_Van Ban 2008_DK 2014-2015 new" xfId="4034" xr:uid="{00000000-0005-0000-0000-0000C8120000}"/>
    <cellStyle name="T_Van Ban 2008_DK 2014-2015 new_05-12  KH trung han 2016-2020 - Liem Thinh edited" xfId="4035" xr:uid="{00000000-0005-0000-0000-0000C9120000}"/>
    <cellStyle name="T_Van Ban 2008_DK 2014-2015 new_Copy of 05-12  KH trung han 2016-2020 - Liem Thinh edited (1)" xfId="4036" xr:uid="{00000000-0005-0000-0000-0000CA120000}"/>
    <cellStyle name="T_Van Ban 2008_DK KH CBDT 2014 11-11-2013" xfId="4037" xr:uid="{00000000-0005-0000-0000-0000CB120000}"/>
    <cellStyle name="T_Van Ban 2008_DK KH CBDT 2014 11-11-2013(1)" xfId="4038" xr:uid="{00000000-0005-0000-0000-0000CC120000}"/>
    <cellStyle name="T_Van Ban 2008_DK KH CBDT 2014 11-11-2013(1)_05-12  KH trung han 2016-2020 - Liem Thinh edited" xfId="4039" xr:uid="{00000000-0005-0000-0000-0000CD120000}"/>
    <cellStyle name="T_Van Ban 2008_DK KH CBDT 2014 11-11-2013(1)_Copy of 05-12  KH trung han 2016-2020 - Liem Thinh edited (1)" xfId="4040" xr:uid="{00000000-0005-0000-0000-0000CE120000}"/>
    <cellStyle name="T_Van Ban 2008_DK KH CBDT 2014 11-11-2013_05-12  KH trung han 2016-2020 - Liem Thinh edited" xfId="4041" xr:uid="{00000000-0005-0000-0000-0000CF120000}"/>
    <cellStyle name="T_Van Ban 2008_DK KH CBDT 2014 11-11-2013_Copy of 05-12  KH trung han 2016-2020 - Liem Thinh edited (1)" xfId="4042" xr:uid="{00000000-0005-0000-0000-0000D0120000}"/>
    <cellStyle name="T_XDCB thang 12.2010" xfId="4043" xr:uid="{00000000-0005-0000-0000-0000D1120000}"/>
    <cellStyle name="T_XDCB thang 12.2010 2" xfId="4044" xr:uid="{00000000-0005-0000-0000-0000D2120000}"/>
    <cellStyle name="T_XDCB thang 12.2010_!1 1 bao cao giao KH ve HTCMT vung TNB   12-12-2011" xfId="4045" xr:uid="{00000000-0005-0000-0000-0000D3120000}"/>
    <cellStyle name="T_XDCB thang 12.2010_!1 1 bao cao giao KH ve HTCMT vung TNB   12-12-2011 2" xfId="4046" xr:uid="{00000000-0005-0000-0000-0000D4120000}"/>
    <cellStyle name="T_XDCB thang 12.2010_KH TPCP vung TNB (03-1-2012)" xfId="4047" xr:uid="{00000000-0005-0000-0000-0000D5120000}"/>
    <cellStyle name="T_XDCB thang 12.2010_KH TPCP vung TNB (03-1-2012) 2" xfId="4048" xr:uid="{00000000-0005-0000-0000-0000D6120000}"/>
    <cellStyle name="T_ÿÿÿÿÿ" xfId="4049" xr:uid="{00000000-0005-0000-0000-0000D7120000}"/>
    <cellStyle name="T_ÿÿÿÿÿ 2" xfId="4050" xr:uid="{00000000-0005-0000-0000-0000D8120000}"/>
    <cellStyle name="T_ÿÿÿÿÿ_!1 1 bao cao giao KH ve HTCMT vung TNB   12-12-2011" xfId="4051" xr:uid="{00000000-0005-0000-0000-0000D9120000}"/>
    <cellStyle name="T_ÿÿÿÿÿ_!1 1 bao cao giao KH ve HTCMT vung TNB   12-12-2011 2" xfId="4052" xr:uid="{00000000-0005-0000-0000-0000DA120000}"/>
    <cellStyle name="T_ÿÿÿÿÿ_Bieu mau cong trinh khoi cong moi 3-4" xfId="4053" xr:uid="{00000000-0005-0000-0000-0000DB120000}"/>
    <cellStyle name="T_ÿÿÿÿÿ_Bieu mau cong trinh khoi cong moi 3-4 2" xfId="4054" xr:uid="{00000000-0005-0000-0000-0000DC120000}"/>
    <cellStyle name="T_ÿÿÿÿÿ_Bieu mau cong trinh khoi cong moi 3-4_!1 1 bao cao giao KH ve HTCMT vung TNB   12-12-2011" xfId="4055" xr:uid="{00000000-0005-0000-0000-0000DD120000}"/>
    <cellStyle name="T_ÿÿÿÿÿ_Bieu mau cong trinh khoi cong moi 3-4_!1 1 bao cao giao KH ve HTCMT vung TNB   12-12-2011 2" xfId="4056" xr:uid="{00000000-0005-0000-0000-0000DE120000}"/>
    <cellStyle name="T_ÿÿÿÿÿ_Bieu mau cong trinh khoi cong moi 3-4_KH TPCP vung TNB (03-1-2012)" xfId="4057" xr:uid="{00000000-0005-0000-0000-0000DF120000}"/>
    <cellStyle name="T_ÿÿÿÿÿ_Bieu mau cong trinh khoi cong moi 3-4_KH TPCP vung TNB (03-1-2012) 2" xfId="4058" xr:uid="{00000000-0005-0000-0000-0000E0120000}"/>
    <cellStyle name="T_ÿÿÿÿÿ_Bieu3ODA" xfId="4059" xr:uid="{00000000-0005-0000-0000-0000E1120000}"/>
    <cellStyle name="T_ÿÿÿÿÿ_Bieu3ODA 2" xfId="4060" xr:uid="{00000000-0005-0000-0000-0000E2120000}"/>
    <cellStyle name="T_ÿÿÿÿÿ_Bieu3ODA_!1 1 bao cao giao KH ve HTCMT vung TNB   12-12-2011" xfId="4061" xr:uid="{00000000-0005-0000-0000-0000E3120000}"/>
    <cellStyle name="T_ÿÿÿÿÿ_Bieu3ODA_!1 1 bao cao giao KH ve HTCMT vung TNB   12-12-2011 2" xfId="4062" xr:uid="{00000000-0005-0000-0000-0000E4120000}"/>
    <cellStyle name="T_ÿÿÿÿÿ_Bieu3ODA_KH TPCP vung TNB (03-1-2012)" xfId="4063" xr:uid="{00000000-0005-0000-0000-0000E5120000}"/>
    <cellStyle name="T_ÿÿÿÿÿ_Bieu3ODA_KH TPCP vung TNB (03-1-2012) 2" xfId="4064" xr:uid="{00000000-0005-0000-0000-0000E6120000}"/>
    <cellStyle name="T_ÿÿÿÿÿ_Bieu4HTMT" xfId="4065" xr:uid="{00000000-0005-0000-0000-0000E7120000}"/>
    <cellStyle name="T_ÿÿÿÿÿ_Bieu4HTMT 2" xfId="4066" xr:uid="{00000000-0005-0000-0000-0000E8120000}"/>
    <cellStyle name="T_ÿÿÿÿÿ_Bieu4HTMT_!1 1 bao cao giao KH ve HTCMT vung TNB   12-12-2011" xfId="4067" xr:uid="{00000000-0005-0000-0000-0000E9120000}"/>
    <cellStyle name="T_ÿÿÿÿÿ_Bieu4HTMT_!1 1 bao cao giao KH ve HTCMT vung TNB   12-12-2011 2" xfId="4068" xr:uid="{00000000-0005-0000-0000-0000EA120000}"/>
    <cellStyle name="T_ÿÿÿÿÿ_Bieu4HTMT_KH TPCP vung TNB (03-1-2012)" xfId="4069" xr:uid="{00000000-0005-0000-0000-0000EB120000}"/>
    <cellStyle name="T_ÿÿÿÿÿ_Bieu4HTMT_KH TPCP vung TNB (03-1-2012) 2" xfId="4070" xr:uid="{00000000-0005-0000-0000-0000EC120000}"/>
    <cellStyle name="T_ÿÿÿÿÿ_KH TPCP vung TNB (03-1-2012)" xfId="4073" xr:uid="{00000000-0005-0000-0000-0000ED120000}"/>
    <cellStyle name="T_ÿÿÿÿÿ_KH TPCP vung TNB (03-1-2012) 2" xfId="4074" xr:uid="{00000000-0005-0000-0000-0000EE120000}"/>
    <cellStyle name="T_ÿÿÿÿÿ_kien giang 2" xfId="4071" xr:uid="{00000000-0005-0000-0000-0000EF120000}"/>
    <cellStyle name="T_ÿÿÿÿÿ_kien giang 2 2" xfId="4072" xr:uid="{00000000-0005-0000-0000-0000F0120000}"/>
    <cellStyle name="Text Indent A" xfId="4075" xr:uid="{00000000-0005-0000-0000-0000F1120000}"/>
    <cellStyle name="Text Indent B" xfId="4076" xr:uid="{00000000-0005-0000-0000-0000F2120000}"/>
    <cellStyle name="Text Indent B 10" xfId="4077" xr:uid="{00000000-0005-0000-0000-0000F3120000}"/>
    <cellStyle name="Text Indent B 11" xfId="4078" xr:uid="{00000000-0005-0000-0000-0000F4120000}"/>
    <cellStyle name="Text Indent B 12" xfId="4079" xr:uid="{00000000-0005-0000-0000-0000F5120000}"/>
    <cellStyle name="Text Indent B 13" xfId="4080" xr:uid="{00000000-0005-0000-0000-0000F6120000}"/>
    <cellStyle name="Text Indent B 14" xfId="4081" xr:uid="{00000000-0005-0000-0000-0000F7120000}"/>
    <cellStyle name="Text Indent B 15" xfId="4082" xr:uid="{00000000-0005-0000-0000-0000F8120000}"/>
    <cellStyle name="Text Indent B 16" xfId="4083" xr:uid="{00000000-0005-0000-0000-0000F9120000}"/>
    <cellStyle name="Text Indent B 2" xfId="4084" xr:uid="{00000000-0005-0000-0000-0000FA120000}"/>
    <cellStyle name="Text Indent B 3" xfId="4085" xr:uid="{00000000-0005-0000-0000-0000FB120000}"/>
    <cellStyle name="Text Indent B 4" xfId="4086" xr:uid="{00000000-0005-0000-0000-0000FC120000}"/>
    <cellStyle name="Text Indent B 5" xfId="4087" xr:uid="{00000000-0005-0000-0000-0000FD120000}"/>
    <cellStyle name="Text Indent B 6" xfId="4088" xr:uid="{00000000-0005-0000-0000-0000FE120000}"/>
    <cellStyle name="Text Indent B 7" xfId="4089" xr:uid="{00000000-0005-0000-0000-0000FF120000}"/>
    <cellStyle name="Text Indent B 8" xfId="4090" xr:uid="{00000000-0005-0000-0000-000000130000}"/>
    <cellStyle name="Text Indent B 9" xfId="4091" xr:uid="{00000000-0005-0000-0000-000001130000}"/>
    <cellStyle name="Text Indent C" xfId="4092" xr:uid="{00000000-0005-0000-0000-000002130000}"/>
    <cellStyle name="Text Indent C 10" xfId="4093" xr:uid="{00000000-0005-0000-0000-000003130000}"/>
    <cellStyle name="Text Indent C 11" xfId="4094" xr:uid="{00000000-0005-0000-0000-000004130000}"/>
    <cellStyle name="Text Indent C 12" xfId="4095" xr:uid="{00000000-0005-0000-0000-000005130000}"/>
    <cellStyle name="Text Indent C 13" xfId="4096" xr:uid="{00000000-0005-0000-0000-000006130000}"/>
    <cellStyle name="Text Indent C 14" xfId="4097" xr:uid="{00000000-0005-0000-0000-000007130000}"/>
    <cellStyle name="Text Indent C 15" xfId="4098" xr:uid="{00000000-0005-0000-0000-000008130000}"/>
    <cellStyle name="Text Indent C 16" xfId="4099" xr:uid="{00000000-0005-0000-0000-000009130000}"/>
    <cellStyle name="Text Indent C 2" xfId="4100" xr:uid="{00000000-0005-0000-0000-00000A130000}"/>
    <cellStyle name="Text Indent C 3" xfId="4101" xr:uid="{00000000-0005-0000-0000-00000B130000}"/>
    <cellStyle name="Text Indent C 4" xfId="4102" xr:uid="{00000000-0005-0000-0000-00000C130000}"/>
    <cellStyle name="Text Indent C 5" xfId="4103" xr:uid="{00000000-0005-0000-0000-00000D130000}"/>
    <cellStyle name="Text Indent C 6" xfId="4104" xr:uid="{00000000-0005-0000-0000-00000E130000}"/>
    <cellStyle name="Text Indent C 7" xfId="4105" xr:uid="{00000000-0005-0000-0000-00000F130000}"/>
    <cellStyle name="Text Indent C 8" xfId="4106" xr:uid="{00000000-0005-0000-0000-000010130000}"/>
    <cellStyle name="Text Indent C 9" xfId="4107" xr:uid="{00000000-0005-0000-0000-000011130000}"/>
    <cellStyle name="th" xfId="4126" xr:uid="{00000000-0005-0000-0000-000012130000}"/>
    <cellStyle name="th 2" xfId="4127" xr:uid="{00000000-0005-0000-0000-000013130000}"/>
    <cellStyle name="þ_x005f_x001d_ð¤_x005f_x000c_¯þ_x005f_x0014__x005f_x000d_¨þU_x005f_x0001_À_x005f_x0004_ _x005f_x0015__x005f_x000f__x005f_x0001__x005f_x0001_" xfId="4128" xr:uid="{00000000-0005-0000-0000-000014130000}"/>
    <cellStyle name="þ_x005f_x001d_ð·_x005f_x000c_æþ'_x005f_x000d_ßþU_x005f_x0001_Ø_x005f_x0005_ü_x005f_x0014__x005f_x0007__x005f_x0001__x005f_x0001_" xfId="4129" xr:uid="{00000000-0005-0000-0000-000015130000}"/>
    <cellStyle name="þ_x005f_x001d_ðÇ%Uý—&amp;Hý9_x005f_x0008_Ÿ s_x005f_x000a__x005f_x0007__x005f_x0001__x005f_x0001_" xfId="4130" xr:uid="{00000000-0005-0000-0000-000016130000}"/>
    <cellStyle name="þ_x005f_x001d_ðK_x005f_x000c_Fý_x005f_x001b__x005f_x000d_9ýU_x005f_x0001_Ð_x005f_x0008_¦)_x005f_x0007__x005f_x0001__x005f_x0001_" xfId="4131" xr:uid="{00000000-0005-0000-0000-00001713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2" xr:uid="{00000000-0005-0000-0000-000018130000}"/>
    <cellStyle name="þ_x005f_x005f_x005f_x001d_ð·_x005f_x005f_x005f_x000c_æþ'_x005f_x005f_x005f_x000d_ßþU_x005f_x005f_x005f_x0001_Ø_x005f_x005f_x005f_x0005_ü_x005f_x005f_x005f_x0014__x005f_x005f_x005f_x0007__x005f_x005f_x005f_x0001__x005f_x005f_x005f_x0001_" xfId="4133" xr:uid="{00000000-0005-0000-0000-000019130000}"/>
    <cellStyle name="þ_x005f_x005f_x005f_x001d_ðÇ%Uý—&amp;Hý9_x005f_x005f_x005f_x0008_Ÿ s_x005f_x005f_x005f_x000a__x005f_x005f_x005f_x0007__x005f_x005f_x005f_x0001__x005f_x005f_x005f_x0001_" xfId="4134" xr:uid="{00000000-0005-0000-0000-00001A130000}"/>
    <cellStyle name="þ_x005f_x005f_x005f_x001d_ðK_x005f_x005f_x005f_x000c_Fý_x005f_x005f_x005f_x001b__x005f_x005f_x005f_x000d_9ýU_x005f_x005f_x005f_x0001_Ð_x005f_x005f_x005f_x0008_¦)_x005f_x005f_x005f_x0007__x005f_x005f_x005f_x0001__x005f_x005f_x005f_x0001_" xfId="4135" xr:uid="{00000000-0005-0000-0000-00001B130000}"/>
    <cellStyle name="than" xfId="4136" xr:uid="{00000000-0005-0000-0000-00001C130000}"/>
    <cellStyle name="Thanh" xfId="4137" xr:uid="{00000000-0005-0000-0000-00001D130000}"/>
    <cellStyle name="þ_x001d_ð¤_x000c_¯þ_x0014__x000a_¨þU_x0001_À_x0004_ _x0015__x000f__x0001__x0001_" xfId="4138" xr:uid="{00000000-0005-0000-0000-00001E130000}"/>
    <cellStyle name="þ_x001d_ð¤_x000c_¯þ_x0014__x000d_¨þU_x0001_À_x0004_ _x0015__x000f__x0001__x0001_" xfId="4139" xr:uid="{00000000-0005-0000-0000-00001F130000}"/>
    <cellStyle name="þ_x001d_ð·_x000c_æþ'_x000a_ßþU_x0001_Ø_x0005_ü_x0014__x0007__x0001__x0001_" xfId="4140" xr:uid="{00000000-0005-0000-0000-000020130000}"/>
    <cellStyle name="þ_x001d_ð·_x000c_æþ'_x000d_ßþU_x0001_Ø_x0005_ü_x0014__x0007__x0001__x0001_" xfId="4141" xr:uid="{00000000-0005-0000-0000-000021130000}"/>
    <cellStyle name="þ_x001d_ðÇ%Uý—&amp;Hý9_x0008_Ÿ s_x000a__x0007__x0001__x0001_" xfId="4142" xr:uid="{00000000-0005-0000-0000-000022130000}"/>
    <cellStyle name="þ_x001d_ðK_x000c_Fý_x001b__x000a_9ýU_x0001_Ð_x0008_¦)_x0007__x0001__x0001_" xfId="4143" xr:uid="{00000000-0005-0000-0000-000023130000}"/>
    <cellStyle name="þ_x001d_ðK_x000c_Fý_x001b__x000d_9ýU_x0001_Ð_x0008_¦)_x0007__x0001__x0001_" xfId="4144" xr:uid="{00000000-0005-0000-0000-000024130000}"/>
    <cellStyle name="thuong-10" xfId="4145" xr:uid="{00000000-0005-0000-0000-000025130000}"/>
    <cellStyle name="thuong-11" xfId="4146" xr:uid="{00000000-0005-0000-0000-000026130000}"/>
    <cellStyle name="thuong-11 2" xfId="4147" xr:uid="{00000000-0005-0000-0000-000027130000}"/>
    <cellStyle name="Thuyet minh" xfId="4148" xr:uid="{00000000-0005-0000-0000-000028130000}"/>
    <cellStyle name="Tickmark" xfId="4108" xr:uid="{00000000-0005-0000-0000-000029130000}"/>
    <cellStyle name="Tien1" xfId="4109" xr:uid="{00000000-0005-0000-0000-00002A130000}"/>
    <cellStyle name="Tieu_de_2" xfId="4110" xr:uid="{00000000-0005-0000-0000-00002B130000}"/>
    <cellStyle name="Times New Roman" xfId="4111" xr:uid="{00000000-0005-0000-0000-00002C130000}"/>
    <cellStyle name="tit1" xfId="4112" xr:uid="{00000000-0005-0000-0000-00002D130000}"/>
    <cellStyle name="tit2" xfId="4113" xr:uid="{00000000-0005-0000-0000-00002E130000}"/>
    <cellStyle name="tit2 2" xfId="4114" xr:uid="{00000000-0005-0000-0000-00002F130000}"/>
    <cellStyle name="tit3" xfId="4115" xr:uid="{00000000-0005-0000-0000-000030130000}"/>
    <cellStyle name="tit4" xfId="4116" xr:uid="{00000000-0005-0000-0000-000031130000}"/>
    <cellStyle name="Title 2" xfId="4117" xr:uid="{00000000-0005-0000-0000-000032130000}"/>
    <cellStyle name="Tong so" xfId="4118" xr:uid="{00000000-0005-0000-0000-000033130000}"/>
    <cellStyle name="tong so 1" xfId="4119" xr:uid="{00000000-0005-0000-0000-000034130000}"/>
    <cellStyle name="Tong so_Bieu KHPTLN 2016-2020" xfId="4120" xr:uid="{00000000-0005-0000-0000-000035130000}"/>
    <cellStyle name="Tongcong" xfId="4121" xr:uid="{00000000-0005-0000-0000-000036130000}"/>
    <cellStyle name="Total 2" xfId="4122" xr:uid="{00000000-0005-0000-0000-000037130000}"/>
    <cellStyle name="Total 2 2" xfId="5030" xr:uid="{00000000-0005-0000-0000-000038130000}"/>
    <cellStyle name="trang" xfId="4149" xr:uid="{00000000-0005-0000-0000-000039130000}"/>
    <cellStyle name="tt1" xfId="4123" xr:uid="{00000000-0005-0000-0000-00003A130000}"/>
    <cellStyle name="Tusental (0)_pldt" xfId="4124" xr:uid="{00000000-0005-0000-0000-00003B130000}"/>
    <cellStyle name="Tusental_pldt" xfId="4125" xr:uid="{00000000-0005-0000-0000-00003C130000}"/>
    <cellStyle name="ux_3_¼­¿ï-¾È»ê" xfId="4150" xr:uid="{00000000-0005-0000-0000-00003D130000}"/>
    <cellStyle name="Valuta (0)_pldt" xfId="4151" xr:uid="{00000000-0005-0000-0000-00003E130000}"/>
    <cellStyle name="Valuta_pldt" xfId="4152" xr:uid="{00000000-0005-0000-0000-00003F130000}"/>
    <cellStyle name="VANG1" xfId="4153" xr:uid="{00000000-0005-0000-0000-000040130000}"/>
    <cellStyle name="VANG1 2" xfId="4154" xr:uid="{00000000-0005-0000-0000-000041130000}"/>
    <cellStyle name="viet" xfId="4155" xr:uid="{00000000-0005-0000-0000-000042130000}"/>
    <cellStyle name="viet2" xfId="4156" xr:uid="{00000000-0005-0000-0000-000043130000}"/>
    <cellStyle name="viet2 2" xfId="4157" xr:uid="{00000000-0005-0000-0000-000044130000}"/>
    <cellStyle name="VN new romanNormal" xfId="4158" xr:uid="{00000000-0005-0000-0000-000045130000}"/>
    <cellStyle name="VN new romanNormal 2" xfId="4159" xr:uid="{00000000-0005-0000-0000-000046130000}"/>
    <cellStyle name="VN new romanNormal 2 2" xfId="4160" xr:uid="{00000000-0005-0000-0000-000047130000}"/>
    <cellStyle name="VN new romanNormal 3" xfId="4161" xr:uid="{00000000-0005-0000-0000-000048130000}"/>
    <cellStyle name="VN new romanNormal_05-12  KH trung han 2016-2020 - Liem Thinh edited" xfId="4162" xr:uid="{00000000-0005-0000-0000-000049130000}"/>
    <cellStyle name="Vn Time 13" xfId="4163" xr:uid="{00000000-0005-0000-0000-00004A130000}"/>
    <cellStyle name="Vn Time 14" xfId="4164" xr:uid="{00000000-0005-0000-0000-00004B130000}"/>
    <cellStyle name="Vn Time 14 2" xfId="4165" xr:uid="{00000000-0005-0000-0000-00004C130000}"/>
    <cellStyle name="Vn Time 14 3" xfId="4166" xr:uid="{00000000-0005-0000-0000-00004D130000}"/>
    <cellStyle name="VN time new roman" xfId="4167" xr:uid="{00000000-0005-0000-0000-00004E130000}"/>
    <cellStyle name="VN time new roman 2" xfId="4168" xr:uid="{00000000-0005-0000-0000-00004F130000}"/>
    <cellStyle name="VN time new roman 2 2" xfId="4169" xr:uid="{00000000-0005-0000-0000-000050130000}"/>
    <cellStyle name="VN time new roman 3" xfId="4170" xr:uid="{00000000-0005-0000-0000-000051130000}"/>
    <cellStyle name="VN time new roman_05-12  KH trung han 2016-2020 - Liem Thinh edited" xfId="4171" xr:uid="{00000000-0005-0000-0000-000052130000}"/>
    <cellStyle name="vn_time" xfId="4172" xr:uid="{00000000-0005-0000-0000-000053130000}"/>
    <cellStyle name="vnbo" xfId="4173" xr:uid="{00000000-0005-0000-0000-000054130000}"/>
    <cellStyle name="vnbo 2" xfId="4174" xr:uid="{00000000-0005-0000-0000-000055130000}"/>
    <cellStyle name="vnbo 3" xfId="4175" xr:uid="{00000000-0005-0000-0000-000056130000}"/>
    <cellStyle name="vnhead1" xfId="4194" xr:uid="{00000000-0005-0000-0000-000057130000}"/>
    <cellStyle name="vnhead1 2" xfId="4195" xr:uid="{00000000-0005-0000-0000-000058130000}"/>
    <cellStyle name="vnhead2" xfId="4196" xr:uid="{00000000-0005-0000-0000-000059130000}"/>
    <cellStyle name="vnhead2 2" xfId="4197" xr:uid="{00000000-0005-0000-0000-00005A130000}"/>
    <cellStyle name="vnhead2 3" xfId="4198" xr:uid="{00000000-0005-0000-0000-00005B130000}"/>
    <cellStyle name="vnhead3" xfId="4199" xr:uid="{00000000-0005-0000-0000-00005C130000}"/>
    <cellStyle name="vnhead3 2" xfId="4200" xr:uid="{00000000-0005-0000-0000-00005D130000}"/>
    <cellStyle name="vnhead3 3" xfId="4201" xr:uid="{00000000-0005-0000-0000-00005E130000}"/>
    <cellStyle name="vnhead4" xfId="4202" xr:uid="{00000000-0005-0000-0000-00005F130000}"/>
    <cellStyle name="vntxt1" xfId="4176" xr:uid="{00000000-0005-0000-0000-000060130000}"/>
    <cellStyle name="vntxt1 10" xfId="4177" xr:uid="{00000000-0005-0000-0000-000061130000}"/>
    <cellStyle name="vntxt1 11" xfId="4178" xr:uid="{00000000-0005-0000-0000-000062130000}"/>
    <cellStyle name="vntxt1 12" xfId="4179" xr:uid="{00000000-0005-0000-0000-000063130000}"/>
    <cellStyle name="vntxt1 13" xfId="4180" xr:uid="{00000000-0005-0000-0000-000064130000}"/>
    <cellStyle name="vntxt1 14" xfId="4181" xr:uid="{00000000-0005-0000-0000-000065130000}"/>
    <cellStyle name="vntxt1 15" xfId="4182" xr:uid="{00000000-0005-0000-0000-000066130000}"/>
    <cellStyle name="vntxt1 16" xfId="4183" xr:uid="{00000000-0005-0000-0000-000067130000}"/>
    <cellStyle name="vntxt1 2" xfId="4184" xr:uid="{00000000-0005-0000-0000-000068130000}"/>
    <cellStyle name="vntxt1 3" xfId="4185" xr:uid="{00000000-0005-0000-0000-000069130000}"/>
    <cellStyle name="vntxt1 4" xfId="4186" xr:uid="{00000000-0005-0000-0000-00006A130000}"/>
    <cellStyle name="vntxt1 5" xfId="4187" xr:uid="{00000000-0005-0000-0000-00006B130000}"/>
    <cellStyle name="vntxt1 6" xfId="4188" xr:uid="{00000000-0005-0000-0000-00006C130000}"/>
    <cellStyle name="vntxt1 7" xfId="4189" xr:uid="{00000000-0005-0000-0000-00006D130000}"/>
    <cellStyle name="vntxt1 8" xfId="4190" xr:uid="{00000000-0005-0000-0000-00006E130000}"/>
    <cellStyle name="vntxt1 9" xfId="4191" xr:uid="{00000000-0005-0000-0000-00006F130000}"/>
    <cellStyle name="vntxt1_05-12  KH trung han 2016-2020 - Liem Thinh edited" xfId="4192" xr:uid="{00000000-0005-0000-0000-000070130000}"/>
    <cellStyle name="vntxt2" xfId="4193" xr:uid="{00000000-0005-0000-0000-000071130000}"/>
    <cellStyle name="W?hrung [0]_35ERI8T2gbIEMixb4v26icuOo" xfId="4203" xr:uid="{00000000-0005-0000-0000-000072130000}"/>
    <cellStyle name="W?hrung_35ERI8T2gbIEMixb4v26icuOo" xfId="4204" xr:uid="{00000000-0005-0000-0000-000073130000}"/>
    <cellStyle name="Währung [0]_68574_Materialbedarfsliste" xfId="4205" xr:uid="{00000000-0005-0000-0000-000074130000}"/>
    <cellStyle name="Währung_68574_Materialbedarfsliste" xfId="4206" xr:uid="{00000000-0005-0000-0000-000075130000}"/>
    <cellStyle name="Walutowy [0]_Invoices2001Slovakia" xfId="4207" xr:uid="{00000000-0005-0000-0000-000076130000}"/>
    <cellStyle name="Walutowy_Invoices2001Slovakia" xfId="4208" xr:uid="{00000000-0005-0000-0000-000077130000}"/>
    <cellStyle name="Warning Text 2" xfId="4209" xr:uid="{00000000-0005-0000-0000-000078130000}"/>
    <cellStyle name="wrap" xfId="4210" xr:uid="{00000000-0005-0000-0000-000079130000}"/>
    <cellStyle name="Wไhrung [0]_35ERI8T2gbIEMixb4v26icuOo" xfId="4211" xr:uid="{00000000-0005-0000-0000-00007A130000}"/>
    <cellStyle name="Wไhrung_35ERI8T2gbIEMixb4v26icuOo" xfId="4212" xr:uid="{00000000-0005-0000-0000-00007B130000}"/>
    <cellStyle name="xan1" xfId="4213" xr:uid="{00000000-0005-0000-0000-00007C130000}"/>
    <cellStyle name="xuan" xfId="4214" xr:uid="{00000000-0005-0000-0000-00007D130000}"/>
    <cellStyle name="y" xfId="4215" xr:uid="{00000000-0005-0000-0000-00007E130000}"/>
    <cellStyle name="y 2" xfId="4216" xr:uid="{00000000-0005-0000-0000-00007F130000}"/>
    <cellStyle name="Ý kh¸c_B¶ng 1 (2)" xfId="4217" xr:uid="{00000000-0005-0000-0000-000080130000}"/>
    <cellStyle name="เครื่องหมายสกุลเงิน [0]_FTC_OFFER" xfId="4218" xr:uid="{00000000-0005-0000-0000-000081130000}"/>
    <cellStyle name="เครื่องหมายสกุลเงิน_FTC_OFFER" xfId="4219" xr:uid="{00000000-0005-0000-0000-000082130000}"/>
    <cellStyle name="ปกติ_FTC_OFFER" xfId="4220" xr:uid="{00000000-0005-0000-0000-000083130000}"/>
    <cellStyle name=" [0.00]_ Att. 1- Cover" xfId="4221" xr:uid="{00000000-0005-0000-0000-000084130000}"/>
    <cellStyle name="_ Att. 1- Cover" xfId="4222" xr:uid="{00000000-0005-0000-0000-000085130000}"/>
    <cellStyle name="?_ Att. 1- Cover" xfId="4223" xr:uid="{00000000-0005-0000-0000-000086130000}"/>
    <cellStyle name="똿뗦먛귟 [0.00]_PRODUCT DETAIL Q1" xfId="4224" xr:uid="{00000000-0005-0000-0000-000087130000}"/>
    <cellStyle name="똿뗦먛귟_PRODUCT DETAIL Q1" xfId="4225" xr:uid="{00000000-0005-0000-0000-000088130000}"/>
    <cellStyle name="믅됞 [0.00]_PRODUCT DETAIL Q1" xfId="4226" xr:uid="{00000000-0005-0000-0000-000089130000}"/>
    <cellStyle name="믅됞_PRODUCT DETAIL Q1" xfId="4227" xr:uid="{00000000-0005-0000-0000-00008A130000}"/>
    <cellStyle name="백분율_††††† " xfId="4228" xr:uid="{00000000-0005-0000-0000-00008B130000}"/>
    <cellStyle name="뷭?_BOOKSHIP" xfId="4229" xr:uid="{00000000-0005-0000-0000-00008C130000}"/>
    <cellStyle name="안건회계법인" xfId="4230" xr:uid="{00000000-0005-0000-0000-00008D130000}"/>
    <cellStyle name="콤맀_Sheet1_총괄표 (수출입) (2)" xfId="4231" xr:uid="{00000000-0005-0000-0000-00008E130000}"/>
    <cellStyle name="콤마 [ - 유형1" xfId="4232" xr:uid="{00000000-0005-0000-0000-00008F130000}"/>
    <cellStyle name="콤마 [ - 유형2" xfId="4233" xr:uid="{00000000-0005-0000-0000-000090130000}"/>
    <cellStyle name="콤마 [ - 유형3" xfId="4234" xr:uid="{00000000-0005-0000-0000-000091130000}"/>
    <cellStyle name="콤마 [ - 유형4" xfId="4235" xr:uid="{00000000-0005-0000-0000-000092130000}"/>
    <cellStyle name="콤마 [ - 유형5" xfId="4236" xr:uid="{00000000-0005-0000-0000-000093130000}"/>
    <cellStyle name="콤마 [ - 유형6" xfId="4237" xr:uid="{00000000-0005-0000-0000-000094130000}"/>
    <cellStyle name="콤마 [ - 유형7" xfId="4238" xr:uid="{00000000-0005-0000-0000-000095130000}"/>
    <cellStyle name="콤마 [ - 유형8" xfId="4239" xr:uid="{00000000-0005-0000-0000-000096130000}"/>
    <cellStyle name="콤마 [0]_ 비목별 월별기술 " xfId="4240" xr:uid="{00000000-0005-0000-0000-000097130000}"/>
    <cellStyle name="콤마_ 비목별 월별기술 " xfId="4241" xr:uid="{00000000-0005-0000-0000-000098130000}"/>
    <cellStyle name="통화 [0]_††††† " xfId="4242" xr:uid="{00000000-0005-0000-0000-000099130000}"/>
    <cellStyle name="통화_††††† " xfId="4243" xr:uid="{00000000-0005-0000-0000-00009A130000}"/>
    <cellStyle name="표섀_변경(최종)" xfId="4244" xr:uid="{00000000-0005-0000-0000-00009B130000}"/>
    <cellStyle name="표준_ 97년 경영분석(안)" xfId="4245" xr:uid="{00000000-0005-0000-0000-00009C130000}"/>
    <cellStyle name="표줠_Sheet1_1_총괄표 (수출입) (2)" xfId="4246" xr:uid="{00000000-0005-0000-0000-00009D130000}"/>
    <cellStyle name="一般_00Q3902REV.1" xfId="4247" xr:uid="{00000000-0005-0000-0000-00009E130000}"/>
    <cellStyle name="千分位[0]_00Q3902REV.1" xfId="4248" xr:uid="{00000000-0005-0000-0000-00009F130000}"/>
    <cellStyle name="千分位_00Q3902REV.1" xfId="4249" xr:uid="{00000000-0005-0000-0000-0000A0130000}"/>
    <cellStyle name="桁区切り [0.00]_BE-BQ" xfId="4250" xr:uid="{00000000-0005-0000-0000-0000A1130000}"/>
    <cellStyle name="桁区切り_BE-BQ" xfId="4251" xr:uid="{00000000-0005-0000-0000-0000A2130000}"/>
    <cellStyle name="標準_(A1)BOQ " xfId="4252" xr:uid="{00000000-0005-0000-0000-0000A3130000}"/>
    <cellStyle name="貨幣 [0]_00Q3902REV.1" xfId="4253" xr:uid="{00000000-0005-0000-0000-0000A4130000}"/>
    <cellStyle name="貨幣[0]_BRE" xfId="4254" xr:uid="{00000000-0005-0000-0000-0000A5130000}"/>
    <cellStyle name="貨幣_00Q3902REV.1" xfId="4255" xr:uid="{00000000-0005-0000-0000-0000A6130000}"/>
    <cellStyle name="通貨 [0.00]_BE-BQ" xfId="4256" xr:uid="{00000000-0005-0000-0000-0000A7130000}"/>
    <cellStyle name="通貨_BE-BQ" xfId="4257" xr:uid="{00000000-0005-0000-0000-0000A813000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113.160.145.177/qlvb/vbpq.nsf/str/15517E5966F76A8947258105004FADE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93"/>
  <sheetViews>
    <sheetView tabSelected="1" view="pageBreakPreview" topLeftCell="A5" zoomScale="86" zoomScaleNormal="70" zoomScaleSheetLayoutView="86" workbookViewId="0">
      <pane xSplit="2" ySplit="38" topLeftCell="C43" activePane="bottomRight" state="frozen"/>
      <selection activeCell="A5" sqref="A5"/>
      <selection pane="topRight" activeCell="C5" sqref="C5"/>
      <selection pane="bottomLeft" activeCell="A43" sqref="A43"/>
      <selection pane="bottomRight" activeCell="AW43" sqref="AW43"/>
    </sheetView>
  </sheetViews>
  <sheetFormatPr defaultRowHeight="15"/>
  <cols>
    <col min="1" max="1" width="6.28515625" style="199" customWidth="1"/>
    <col min="2" max="2" width="42.28515625" style="202" customWidth="1"/>
    <col min="3" max="4" width="9.28515625" style="203" customWidth="1"/>
    <col min="5" max="5" width="13" style="203" customWidth="1"/>
    <col min="6" max="6" width="9.28515625" style="203" customWidth="1"/>
    <col min="7" max="7" width="11.28515625" style="203" customWidth="1"/>
    <col min="8" max="8" width="7.28515625" style="203" customWidth="1"/>
    <col min="9" max="9" width="15.7109375" style="313" customWidth="1"/>
    <col min="10" max="10" width="12.5703125" style="200" customWidth="1"/>
    <col min="11" max="11" width="12.85546875" style="200" customWidth="1"/>
    <col min="12" max="12" width="9.140625" style="200" hidden="1" customWidth="1"/>
    <col min="13" max="13" width="9.28515625" style="200" hidden="1" customWidth="1"/>
    <col min="14" max="14" width="11.140625" style="200" hidden="1" customWidth="1"/>
    <col min="15" max="15" width="11.28515625" style="200" hidden="1" customWidth="1"/>
    <col min="16" max="16" width="11.140625" style="539" hidden="1" customWidth="1"/>
    <col min="17" max="17" width="10.7109375" style="539" hidden="1" customWidth="1"/>
    <col min="18" max="18" width="12.140625" style="200" customWidth="1"/>
    <col min="19" max="19" width="12.42578125" style="200" customWidth="1"/>
    <col min="20" max="20" width="9.85546875" style="200" customWidth="1"/>
    <col min="21" max="21" width="10.140625" style="200" customWidth="1"/>
    <col min="22" max="22" width="10.85546875" style="539" hidden="1" customWidth="1"/>
    <col min="23" max="23" width="11.28515625" style="539" hidden="1" customWidth="1"/>
    <col min="24" max="24" width="10.85546875" style="539" hidden="1" customWidth="1"/>
    <col min="25" max="25" width="7.5703125" style="539" hidden="1" customWidth="1"/>
    <col min="26" max="26" width="10.28515625" style="539" hidden="1" customWidth="1"/>
    <col min="27" max="27" width="11.28515625" style="539" hidden="1" customWidth="1"/>
    <col min="28" max="28" width="11.5703125" style="579" hidden="1" customWidth="1"/>
    <col min="29" max="29" width="9.140625" style="539" hidden="1" customWidth="1"/>
    <col min="30" max="30" width="9.5703125" style="539" hidden="1" customWidth="1"/>
    <col min="31" max="31" width="9.42578125" style="539" hidden="1" customWidth="1"/>
    <col min="32" max="32" width="11.140625" style="539" hidden="1" customWidth="1"/>
    <col min="33" max="33" width="13" style="539" hidden="1" customWidth="1"/>
    <col min="34" max="34" width="13.140625" style="539" hidden="1" customWidth="1"/>
    <col min="35" max="35" width="12.7109375" style="539" hidden="1" customWidth="1"/>
    <col min="36" max="36" width="11.7109375" style="539" hidden="1" customWidth="1"/>
    <col min="37" max="37" width="10.5703125" style="539" hidden="1" customWidth="1"/>
    <col min="38" max="38" width="10.140625" style="539" hidden="1" customWidth="1"/>
    <col min="39" max="39" width="8.28515625" style="539" hidden="1" customWidth="1"/>
    <col min="40" max="40" width="8.140625" style="539" hidden="1" customWidth="1"/>
    <col min="41" max="42" width="11.140625" style="539" hidden="1" customWidth="1"/>
    <col min="43" max="43" width="10.28515625" style="539" hidden="1" customWidth="1"/>
    <col min="44" max="44" width="8.7109375" style="539" hidden="1" customWidth="1"/>
    <col min="45" max="46" width="12.140625" style="539" customWidth="1"/>
    <col min="47" max="49" width="10.7109375" style="539" customWidth="1"/>
    <col min="50" max="50" width="10.42578125" style="539" customWidth="1"/>
    <col min="51" max="51" width="9.7109375" style="539" customWidth="1"/>
    <col min="52" max="52" width="17.28515625" style="203" customWidth="1"/>
    <col min="53" max="53" width="12.85546875" style="201" hidden="1" customWidth="1"/>
    <col min="54" max="254" width="9.140625" style="201"/>
    <col min="255" max="255" width="6.28515625" style="201" customWidth="1"/>
    <col min="256" max="256" width="35.5703125" style="201" customWidth="1"/>
    <col min="257" max="259" width="0" style="201" hidden="1" customWidth="1"/>
    <col min="260" max="260" width="17.28515625" style="201" customWidth="1"/>
    <col min="261" max="261" width="11.28515625" style="201" customWidth="1"/>
    <col min="262" max="262" width="9.5703125" style="201" customWidth="1"/>
    <col min="263" max="268" width="0" style="201" hidden="1" customWidth="1"/>
    <col min="269" max="269" width="11.28515625" style="201" customWidth="1"/>
    <col min="270" max="270" width="11.140625" style="201" customWidth="1"/>
    <col min="271" max="271" width="8.140625" style="201" customWidth="1"/>
    <col min="272" max="272" width="9.28515625" style="201" customWidth="1"/>
    <col min="273" max="273" width="9" style="201" customWidth="1"/>
    <col min="274" max="274" width="9.28515625" style="201" customWidth="1"/>
    <col min="275" max="276" width="0" style="201" hidden="1" customWidth="1"/>
    <col min="277" max="277" width="9.140625" style="201" customWidth="1"/>
    <col min="278" max="278" width="10.140625" style="201" customWidth="1"/>
    <col min="279" max="279" width="9.140625" style="201" customWidth="1"/>
    <col min="280" max="286" width="9.5703125" style="201" customWidth="1"/>
    <col min="287" max="287" width="19.28515625" style="201" customWidth="1"/>
    <col min="288" max="288" width="22.140625" style="201" customWidth="1"/>
    <col min="289" max="289" width="16.7109375" style="201" customWidth="1"/>
    <col min="290" max="290" width="13.5703125" style="201" customWidth="1"/>
    <col min="291" max="291" width="12" style="201" customWidth="1"/>
    <col min="292" max="292" width="9.28515625" style="201" customWidth="1"/>
    <col min="293" max="293" width="15.28515625" style="201" customWidth="1"/>
    <col min="294" max="294" width="9.7109375" style="201" customWidth="1"/>
    <col min="295" max="295" width="2.5703125" style="201" customWidth="1"/>
    <col min="296" max="296" width="23.85546875" style="201" customWidth="1"/>
    <col min="297" max="510" width="9.140625" style="201"/>
    <col min="511" max="511" width="6.28515625" style="201" customWidth="1"/>
    <col min="512" max="512" width="35.5703125" style="201" customWidth="1"/>
    <col min="513" max="515" width="0" style="201" hidden="1" customWidth="1"/>
    <col min="516" max="516" width="17.28515625" style="201" customWidth="1"/>
    <col min="517" max="517" width="11.28515625" style="201" customWidth="1"/>
    <col min="518" max="518" width="9.5703125" style="201" customWidth="1"/>
    <col min="519" max="524" width="0" style="201" hidden="1" customWidth="1"/>
    <col min="525" max="525" width="11.28515625" style="201" customWidth="1"/>
    <col min="526" max="526" width="11.140625" style="201" customWidth="1"/>
    <col min="527" max="527" width="8.140625" style="201" customWidth="1"/>
    <col min="528" max="528" width="9.28515625" style="201" customWidth="1"/>
    <col min="529" max="529" width="9" style="201" customWidth="1"/>
    <col min="530" max="530" width="9.28515625" style="201" customWidth="1"/>
    <col min="531" max="532" width="0" style="201" hidden="1" customWidth="1"/>
    <col min="533" max="533" width="9.140625" style="201" customWidth="1"/>
    <col min="534" max="534" width="10.140625" style="201" customWidth="1"/>
    <col min="535" max="535" width="9.140625" style="201" customWidth="1"/>
    <col min="536" max="542" width="9.5703125" style="201" customWidth="1"/>
    <col min="543" max="543" width="19.28515625" style="201" customWidth="1"/>
    <col min="544" max="544" width="22.140625" style="201" customWidth="1"/>
    <col min="545" max="545" width="16.7109375" style="201" customWidth="1"/>
    <col min="546" max="546" width="13.5703125" style="201" customWidth="1"/>
    <col min="547" max="547" width="12" style="201" customWidth="1"/>
    <col min="548" max="548" width="9.28515625" style="201" customWidth="1"/>
    <col min="549" max="549" width="15.28515625" style="201" customWidth="1"/>
    <col min="550" max="550" width="9.7109375" style="201" customWidth="1"/>
    <col min="551" max="551" width="2.5703125" style="201" customWidth="1"/>
    <col min="552" max="552" width="23.85546875" style="201" customWidth="1"/>
    <col min="553" max="766" width="9.140625" style="201"/>
    <col min="767" max="767" width="6.28515625" style="201" customWidth="1"/>
    <col min="768" max="768" width="35.5703125" style="201" customWidth="1"/>
    <col min="769" max="771" width="0" style="201" hidden="1" customWidth="1"/>
    <col min="772" max="772" width="17.28515625" style="201" customWidth="1"/>
    <col min="773" max="773" width="11.28515625" style="201" customWidth="1"/>
    <col min="774" max="774" width="9.5703125" style="201" customWidth="1"/>
    <col min="775" max="780" width="0" style="201" hidden="1" customWidth="1"/>
    <col min="781" max="781" width="11.28515625" style="201" customWidth="1"/>
    <col min="782" max="782" width="11.140625" style="201" customWidth="1"/>
    <col min="783" max="783" width="8.140625" style="201" customWidth="1"/>
    <col min="784" max="784" width="9.28515625" style="201" customWidth="1"/>
    <col min="785" max="785" width="9" style="201" customWidth="1"/>
    <col min="786" max="786" width="9.28515625" style="201" customWidth="1"/>
    <col min="787" max="788" width="0" style="201" hidden="1" customWidth="1"/>
    <col min="789" max="789" width="9.140625" style="201" customWidth="1"/>
    <col min="790" max="790" width="10.140625" style="201" customWidth="1"/>
    <col min="791" max="791" width="9.140625" style="201" customWidth="1"/>
    <col min="792" max="798" width="9.5703125" style="201" customWidth="1"/>
    <col min="799" max="799" width="19.28515625" style="201" customWidth="1"/>
    <col min="800" max="800" width="22.140625" style="201" customWidth="1"/>
    <col min="801" max="801" width="16.7109375" style="201" customWidth="1"/>
    <col min="802" max="802" width="13.5703125" style="201" customWidth="1"/>
    <col min="803" max="803" width="12" style="201" customWidth="1"/>
    <col min="804" max="804" width="9.28515625" style="201" customWidth="1"/>
    <col min="805" max="805" width="15.28515625" style="201" customWidth="1"/>
    <col min="806" max="806" width="9.7109375" style="201" customWidth="1"/>
    <col min="807" max="807" width="2.5703125" style="201" customWidth="1"/>
    <col min="808" max="808" width="23.85546875" style="201" customWidth="1"/>
    <col min="809" max="1022" width="9.140625" style="201"/>
    <col min="1023" max="1023" width="6.28515625" style="201" customWidth="1"/>
    <col min="1024" max="1024" width="35.5703125" style="201" customWidth="1"/>
    <col min="1025" max="1027" width="0" style="201" hidden="1" customWidth="1"/>
    <col min="1028" max="1028" width="17.28515625" style="201" customWidth="1"/>
    <col min="1029" max="1029" width="11.28515625" style="201" customWidth="1"/>
    <col min="1030" max="1030" width="9.5703125" style="201" customWidth="1"/>
    <col min="1031" max="1036" width="0" style="201" hidden="1" customWidth="1"/>
    <col min="1037" max="1037" width="11.28515625" style="201" customWidth="1"/>
    <col min="1038" max="1038" width="11.140625" style="201" customWidth="1"/>
    <col min="1039" max="1039" width="8.140625" style="201" customWidth="1"/>
    <col min="1040" max="1040" width="9.28515625" style="201" customWidth="1"/>
    <col min="1041" max="1041" width="9" style="201" customWidth="1"/>
    <col min="1042" max="1042" width="9.28515625" style="201" customWidth="1"/>
    <col min="1043" max="1044" width="0" style="201" hidden="1" customWidth="1"/>
    <col min="1045" max="1045" width="9.140625" style="201" customWidth="1"/>
    <col min="1046" max="1046" width="10.140625" style="201" customWidth="1"/>
    <col min="1047" max="1047" width="9.140625" style="201" customWidth="1"/>
    <col min="1048" max="1054" width="9.5703125" style="201" customWidth="1"/>
    <col min="1055" max="1055" width="19.28515625" style="201" customWidth="1"/>
    <col min="1056" max="1056" width="22.140625" style="201" customWidth="1"/>
    <col min="1057" max="1057" width="16.7109375" style="201" customWidth="1"/>
    <col min="1058" max="1058" width="13.5703125" style="201" customWidth="1"/>
    <col min="1059" max="1059" width="12" style="201" customWidth="1"/>
    <col min="1060" max="1060" width="9.28515625" style="201" customWidth="1"/>
    <col min="1061" max="1061" width="15.28515625" style="201" customWidth="1"/>
    <col min="1062" max="1062" width="9.7109375" style="201" customWidth="1"/>
    <col min="1063" max="1063" width="2.5703125" style="201" customWidth="1"/>
    <col min="1064" max="1064" width="23.85546875" style="201" customWidth="1"/>
    <col min="1065" max="1278" width="9.140625" style="201"/>
    <col min="1279" max="1279" width="6.28515625" style="201" customWidth="1"/>
    <col min="1280" max="1280" width="35.5703125" style="201" customWidth="1"/>
    <col min="1281" max="1283" width="0" style="201" hidden="1" customWidth="1"/>
    <col min="1284" max="1284" width="17.28515625" style="201" customWidth="1"/>
    <col min="1285" max="1285" width="11.28515625" style="201" customWidth="1"/>
    <col min="1286" max="1286" width="9.5703125" style="201" customWidth="1"/>
    <col min="1287" max="1292" width="0" style="201" hidden="1" customWidth="1"/>
    <col min="1293" max="1293" width="11.28515625" style="201" customWidth="1"/>
    <col min="1294" max="1294" width="11.140625" style="201" customWidth="1"/>
    <col min="1295" max="1295" width="8.140625" style="201" customWidth="1"/>
    <col min="1296" max="1296" width="9.28515625" style="201" customWidth="1"/>
    <col min="1297" max="1297" width="9" style="201" customWidth="1"/>
    <col min="1298" max="1298" width="9.28515625" style="201" customWidth="1"/>
    <col min="1299" max="1300" width="0" style="201" hidden="1" customWidth="1"/>
    <col min="1301" max="1301" width="9.140625" style="201" customWidth="1"/>
    <col min="1302" max="1302" width="10.140625" style="201" customWidth="1"/>
    <col min="1303" max="1303" width="9.140625" style="201" customWidth="1"/>
    <col min="1304" max="1310" width="9.5703125" style="201" customWidth="1"/>
    <col min="1311" max="1311" width="19.28515625" style="201" customWidth="1"/>
    <col min="1312" max="1312" width="22.140625" style="201" customWidth="1"/>
    <col min="1313" max="1313" width="16.7109375" style="201" customWidth="1"/>
    <col min="1314" max="1314" width="13.5703125" style="201" customWidth="1"/>
    <col min="1315" max="1315" width="12" style="201" customWidth="1"/>
    <col min="1316" max="1316" width="9.28515625" style="201" customWidth="1"/>
    <col min="1317" max="1317" width="15.28515625" style="201" customWidth="1"/>
    <col min="1318" max="1318" width="9.7109375" style="201" customWidth="1"/>
    <col min="1319" max="1319" width="2.5703125" style="201" customWidth="1"/>
    <col min="1320" max="1320" width="23.85546875" style="201" customWidth="1"/>
    <col min="1321" max="1534" width="9.140625" style="201"/>
    <col min="1535" max="1535" width="6.28515625" style="201" customWidth="1"/>
    <col min="1536" max="1536" width="35.5703125" style="201" customWidth="1"/>
    <col min="1537" max="1539" width="0" style="201" hidden="1" customWidth="1"/>
    <col min="1540" max="1540" width="17.28515625" style="201" customWidth="1"/>
    <col min="1541" max="1541" width="11.28515625" style="201" customWidth="1"/>
    <col min="1542" max="1542" width="9.5703125" style="201" customWidth="1"/>
    <col min="1543" max="1548" width="0" style="201" hidden="1" customWidth="1"/>
    <col min="1549" max="1549" width="11.28515625" style="201" customWidth="1"/>
    <col min="1550" max="1550" width="11.140625" style="201" customWidth="1"/>
    <col min="1551" max="1551" width="8.140625" style="201" customWidth="1"/>
    <col min="1552" max="1552" width="9.28515625" style="201" customWidth="1"/>
    <col min="1553" max="1553" width="9" style="201" customWidth="1"/>
    <col min="1554" max="1554" width="9.28515625" style="201" customWidth="1"/>
    <col min="1555" max="1556" width="0" style="201" hidden="1" customWidth="1"/>
    <col min="1557" max="1557" width="9.140625" style="201" customWidth="1"/>
    <col min="1558" max="1558" width="10.140625" style="201" customWidth="1"/>
    <col min="1559" max="1559" width="9.140625" style="201" customWidth="1"/>
    <col min="1560" max="1566" width="9.5703125" style="201" customWidth="1"/>
    <col min="1567" max="1567" width="19.28515625" style="201" customWidth="1"/>
    <col min="1568" max="1568" width="22.140625" style="201" customWidth="1"/>
    <col min="1569" max="1569" width="16.7109375" style="201" customWidth="1"/>
    <col min="1570" max="1570" width="13.5703125" style="201" customWidth="1"/>
    <col min="1571" max="1571" width="12" style="201" customWidth="1"/>
    <col min="1572" max="1572" width="9.28515625" style="201" customWidth="1"/>
    <col min="1573" max="1573" width="15.28515625" style="201" customWidth="1"/>
    <col min="1574" max="1574" width="9.7109375" style="201" customWidth="1"/>
    <col min="1575" max="1575" width="2.5703125" style="201" customWidth="1"/>
    <col min="1576" max="1576" width="23.85546875" style="201" customWidth="1"/>
    <col min="1577" max="1790" width="9.140625" style="201"/>
    <col min="1791" max="1791" width="6.28515625" style="201" customWidth="1"/>
    <col min="1792" max="1792" width="35.5703125" style="201" customWidth="1"/>
    <col min="1793" max="1795" width="0" style="201" hidden="1" customWidth="1"/>
    <col min="1796" max="1796" width="17.28515625" style="201" customWidth="1"/>
    <col min="1797" max="1797" width="11.28515625" style="201" customWidth="1"/>
    <col min="1798" max="1798" width="9.5703125" style="201" customWidth="1"/>
    <col min="1799" max="1804" width="0" style="201" hidden="1" customWidth="1"/>
    <col min="1805" max="1805" width="11.28515625" style="201" customWidth="1"/>
    <col min="1806" max="1806" width="11.140625" style="201" customWidth="1"/>
    <col min="1807" max="1807" width="8.140625" style="201" customWidth="1"/>
    <col min="1808" max="1808" width="9.28515625" style="201" customWidth="1"/>
    <col min="1809" max="1809" width="9" style="201" customWidth="1"/>
    <col min="1810" max="1810" width="9.28515625" style="201" customWidth="1"/>
    <col min="1811" max="1812" width="0" style="201" hidden="1" customWidth="1"/>
    <col min="1813" max="1813" width="9.140625" style="201" customWidth="1"/>
    <col min="1814" max="1814" width="10.140625" style="201" customWidth="1"/>
    <col min="1815" max="1815" width="9.140625" style="201" customWidth="1"/>
    <col min="1816" max="1822" width="9.5703125" style="201" customWidth="1"/>
    <col min="1823" max="1823" width="19.28515625" style="201" customWidth="1"/>
    <col min="1824" max="1824" width="22.140625" style="201" customWidth="1"/>
    <col min="1825" max="1825" width="16.7109375" style="201" customWidth="1"/>
    <col min="1826" max="1826" width="13.5703125" style="201" customWidth="1"/>
    <col min="1827" max="1827" width="12" style="201" customWidth="1"/>
    <col min="1828" max="1828" width="9.28515625" style="201" customWidth="1"/>
    <col min="1829" max="1829" width="15.28515625" style="201" customWidth="1"/>
    <col min="1830" max="1830" width="9.7109375" style="201" customWidth="1"/>
    <col min="1831" max="1831" width="2.5703125" style="201" customWidth="1"/>
    <col min="1832" max="1832" width="23.85546875" style="201" customWidth="1"/>
    <col min="1833" max="2046" width="9.140625" style="201"/>
    <col min="2047" max="2047" width="6.28515625" style="201" customWidth="1"/>
    <col min="2048" max="2048" width="35.5703125" style="201" customWidth="1"/>
    <col min="2049" max="2051" width="0" style="201" hidden="1" customWidth="1"/>
    <col min="2052" max="2052" width="17.28515625" style="201" customWidth="1"/>
    <col min="2053" max="2053" width="11.28515625" style="201" customWidth="1"/>
    <col min="2054" max="2054" width="9.5703125" style="201" customWidth="1"/>
    <col min="2055" max="2060" width="0" style="201" hidden="1" customWidth="1"/>
    <col min="2061" max="2061" width="11.28515625" style="201" customWidth="1"/>
    <col min="2062" max="2062" width="11.140625" style="201" customWidth="1"/>
    <col min="2063" max="2063" width="8.140625" style="201" customWidth="1"/>
    <col min="2064" max="2064" width="9.28515625" style="201" customWidth="1"/>
    <col min="2065" max="2065" width="9" style="201" customWidth="1"/>
    <col min="2066" max="2066" width="9.28515625" style="201" customWidth="1"/>
    <col min="2067" max="2068" width="0" style="201" hidden="1" customWidth="1"/>
    <col min="2069" max="2069" width="9.140625" style="201" customWidth="1"/>
    <col min="2070" max="2070" width="10.140625" style="201" customWidth="1"/>
    <col min="2071" max="2071" width="9.140625" style="201" customWidth="1"/>
    <col min="2072" max="2078" width="9.5703125" style="201" customWidth="1"/>
    <col min="2079" max="2079" width="19.28515625" style="201" customWidth="1"/>
    <col min="2080" max="2080" width="22.140625" style="201" customWidth="1"/>
    <col min="2081" max="2081" width="16.7109375" style="201" customWidth="1"/>
    <col min="2082" max="2082" width="13.5703125" style="201" customWidth="1"/>
    <col min="2083" max="2083" width="12" style="201" customWidth="1"/>
    <col min="2084" max="2084" width="9.28515625" style="201" customWidth="1"/>
    <col min="2085" max="2085" width="15.28515625" style="201" customWidth="1"/>
    <col min="2086" max="2086" width="9.7109375" style="201" customWidth="1"/>
    <col min="2087" max="2087" width="2.5703125" style="201" customWidth="1"/>
    <col min="2088" max="2088" width="23.85546875" style="201" customWidth="1"/>
    <col min="2089" max="2302" width="9.140625" style="201"/>
    <col min="2303" max="2303" width="6.28515625" style="201" customWidth="1"/>
    <col min="2304" max="2304" width="35.5703125" style="201" customWidth="1"/>
    <col min="2305" max="2307" width="0" style="201" hidden="1" customWidth="1"/>
    <col min="2308" max="2308" width="17.28515625" style="201" customWidth="1"/>
    <col min="2309" max="2309" width="11.28515625" style="201" customWidth="1"/>
    <col min="2310" max="2310" width="9.5703125" style="201" customWidth="1"/>
    <col min="2311" max="2316" width="0" style="201" hidden="1" customWidth="1"/>
    <col min="2317" max="2317" width="11.28515625" style="201" customWidth="1"/>
    <col min="2318" max="2318" width="11.140625" style="201" customWidth="1"/>
    <col min="2319" max="2319" width="8.140625" style="201" customWidth="1"/>
    <col min="2320" max="2320" width="9.28515625" style="201" customWidth="1"/>
    <col min="2321" max="2321" width="9" style="201" customWidth="1"/>
    <col min="2322" max="2322" width="9.28515625" style="201" customWidth="1"/>
    <col min="2323" max="2324" width="0" style="201" hidden="1" customWidth="1"/>
    <col min="2325" max="2325" width="9.140625" style="201" customWidth="1"/>
    <col min="2326" max="2326" width="10.140625" style="201" customWidth="1"/>
    <col min="2327" max="2327" width="9.140625" style="201" customWidth="1"/>
    <col min="2328" max="2334" width="9.5703125" style="201" customWidth="1"/>
    <col min="2335" max="2335" width="19.28515625" style="201" customWidth="1"/>
    <col min="2336" max="2336" width="22.140625" style="201" customWidth="1"/>
    <col min="2337" max="2337" width="16.7109375" style="201" customWidth="1"/>
    <col min="2338" max="2338" width="13.5703125" style="201" customWidth="1"/>
    <col min="2339" max="2339" width="12" style="201" customWidth="1"/>
    <col min="2340" max="2340" width="9.28515625" style="201" customWidth="1"/>
    <col min="2341" max="2341" width="15.28515625" style="201" customWidth="1"/>
    <col min="2342" max="2342" width="9.7109375" style="201" customWidth="1"/>
    <col min="2343" max="2343" width="2.5703125" style="201" customWidth="1"/>
    <col min="2344" max="2344" width="23.85546875" style="201" customWidth="1"/>
    <col min="2345" max="2558" width="9.140625" style="201"/>
    <col min="2559" max="2559" width="6.28515625" style="201" customWidth="1"/>
    <col min="2560" max="2560" width="35.5703125" style="201" customWidth="1"/>
    <col min="2561" max="2563" width="0" style="201" hidden="1" customWidth="1"/>
    <col min="2564" max="2564" width="17.28515625" style="201" customWidth="1"/>
    <col min="2565" max="2565" width="11.28515625" style="201" customWidth="1"/>
    <col min="2566" max="2566" width="9.5703125" style="201" customWidth="1"/>
    <col min="2567" max="2572" width="0" style="201" hidden="1" customWidth="1"/>
    <col min="2573" max="2573" width="11.28515625" style="201" customWidth="1"/>
    <col min="2574" max="2574" width="11.140625" style="201" customWidth="1"/>
    <col min="2575" max="2575" width="8.140625" style="201" customWidth="1"/>
    <col min="2576" max="2576" width="9.28515625" style="201" customWidth="1"/>
    <col min="2577" max="2577" width="9" style="201" customWidth="1"/>
    <col min="2578" max="2578" width="9.28515625" style="201" customWidth="1"/>
    <col min="2579" max="2580" width="0" style="201" hidden="1" customWidth="1"/>
    <col min="2581" max="2581" width="9.140625" style="201" customWidth="1"/>
    <col min="2582" max="2582" width="10.140625" style="201" customWidth="1"/>
    <col min="2583" max="2583" width="9.140625" style="201" customWidth="1"/>
    <col min="2584" max="2590" width="9.5703125" style="201" customWidth="1"/>
    <col min="2591" max="2591" width="19.28515625" style="201" customWidth="1"/>
    <col min="2592" max="2592" width="22.140625" style="201" customWidth="1"/>
    <col min="2593" max="2593" width="16.7109375" style="201" customWidth="1"/>
    <col min="2594" max="2594" width="13.5703125" style="201" customWidth="1"/>
    <col min="2595" max="2595" width="12" style="201" customWidth="1"/>
    <col min="2596" max="2596" width="9.28515625" style="201" customWidth="1"/>
    <col min="2597" max="2597" width="15.28515625" style="201" customWidth="1"/>
    <col min="2598" max="2598" width="9.7109375" style="201" customWidth="1"/>
    <col min="2599" max="2599" width="2.5703125" style="201" customWidth="1"/>
    <col min="2600" max="2600" width="23.85546875" style="201" customWidth="1"/>
    <col min="2601" max="2814" width="9.140625" style="201"/>
    <col min="2815" max="2815" width="6.28515625" style="201" customWidth="1"/>
    <col min="2816" max="2816" width="35.5703125" style="201" customWidth="1"/>
    <col min="2817" max="2819" width="0" style="201" hidden="1" customWidth="1"/>
    <col min="2820" max="2820" width="17.28515625" style="201" customWidth="1"/>
    <col min="2821" max="2821" width="11.28515625" style="201" customWidth="1"/>
    <col min="2822" max="2822" width="9.5703125" style="201" customWidth="1"/>
    <col min="2823" max="2828" width="0" style="201" hidden="1" customWidth="1"/>
    <col min="2829" max="2829" width="11.28515625" style="201" customWidth="1"/>
    <col min="2830" max="2830" width="11.140625" style="201" customWidth="1"/>
    <col min="2831" max="2831" width="8.140625" style="201" customWidth="1"/>
    <col min="2832" max="2832" width="9.28515625" style="201" customWidth="1"/>
    <col min="2833" max="2833" width="9" style="201" customWidth="1"/>
    <col min="2834" max="2834" width="9.28515625" style="201" customWidth="1"/>
    <col min="2835" max="2836" width="0" style="201" hidden="1" customWidth="1"/>
    <col min="2837" max="2837" width="9.140625" style="201" customWidth="1"/>
    <col min="2838" max="2838" width="10.140625" style="201" customWidth="1"/>
    <col min="2839" max="2839" width="9.140625" style="201" customWidth="1"/>
    <col min="2840" max="2846" width="9.5703125" style="201" customWidth="1"/>
    <col min="2847" max="2847" width="19.28515625" style="201" customWidth="1"/>
    <col min="2848" max="2848" width="22.140625" style="201" customWidth="1"/>
    <col min="2849" max="2849" width="16.7109375" style="201" customWidth="1"/>
    <col min="2850" max="2850" width="13.5703125" style="201" customWidth="1"/>
    <col min="2851" max="2851" width="12" style="201" customWidth="1"/>
    <col min="2852" max="2852" width="9.28515625" style="201" customWidth="1"/>
    <col min="2853" max="2853" width="15.28515625" style="201" customWidth="1"/>
    <col min="2854" max="2854" width="9.7109375" style="201" customWidth="1"/>
    <col min="2855" max="2855" width="2.5703125" style="201" customWidth="1"/>
    <col min="2856" max="2856" width="23.85546875" style="201" customWidth="1"/>
    <col min="2857" max="3070" width="9.140625" style="201"/>
    <col min="3071" max="3071" width="6.28515625" style="201" customWidth="1"/>
    <col min="3072" max="3072" width="35.5703125" style="201" customWidth="1"/>
    <col min="3073" max="3075" width="0" style="201" hidden="1" customWidth="1"/>
    <col min="3076" max="3076" width="17.28515625" style="201" customWidth="1"/>
    <col min="3077" max="3077" width="11.28515625" style="201" customWidth="1"/>
    <col min="3078" max="3078" width="9.5703125" style="201" customWidth="1"/>
    <col min="3079" max="3084" width="0" style="201" hidden="1" customWidth="1"/>
    <col min="3085" max="3085" width="11.28515625" style="201" customWidth="1"/>
    <col min="3086" max="3086" width="11.140625" style="201" customWidth="1"/>
    <col min="3087" max="3087" width="8.140625" style="201" customWidth="1"/>
    <col min="3088" max="3088" width="9.28515625" style="201" customWidth="1"/>
    <col min="3089" max="3089" width="9" style="201" customWidth="1"/>
    <col min="3090" max="3090" width="9.28515625" style="201" customWidth="1"/>
    <col min="3091" max="3092" width="0" style="201" hidden="1" customWidth="1"/>
    <col min="3093" max="3093" width="9.140625" style="201" customWidth="1"/>
    <col min="3094" max="3094" width="10.140625" style="201" customWidth="1"/>
    <col min="3095" max="3095" width="9.140625" style="201" customWidth="1"/>
    <col min="3096" max="3102" width="9.5703125" style="201" customWidth="1"/>
    <col min="3103" max="3103" width="19.28515625" style="201" customWidth="1"/>
    <col min="3104" max="3104" width="22.140625" style="201" customWidth="1"/>
    <col min="3105" max="3105" width="16.7109375" style="201" customWidth="1"/>
    <col min="3106" max="3106" width="13.5703125" style="201" customWidth="1"/>
    <col min="3107" max="3107" width="12" style="201" customWidth="1"/>
    <col min="3108" max="3108" width="9.28515625" style="201" customWidth="1"/>
    <col min="3109" max="3109" width="15.28515625" style="201" customWidth="1"/>
    <col min="3110" max="3110" width="9.7109375" style="201" customWidth="1"/>
    <col min="3111" max="3111" width="2.5703125" style="201" customWidth="1"/>
    <col min="3112" max="3112" width="23.85546875" style="201" customWidth="1"/>
    <col min="3113" max="3326" width="9.140625" style="201"/>
    <col min="3327" max="3327" width="6.28515625" style="201" customWidth="1"/>
    <col min="3328" max="3328" width="35.5703125" style="201" customWidth="1"/>
    <col min="3329" max="3331" width="0" style="201" hidden="1" customWidth="1"/>
    <col min="3332" max="3332" width="17.28515625" style="201" customWidth="1"/>
    <col min="3333" max="3333" width="11.28515625" style="201" customWidth="1"/>
    <col min="3334" max="3334" width="9.5703125" style="201" customWidth="1"/>
    <col min="3335" max="3340" width="0" style="201" hidden="1" customWidth="1"/>
    <col min="3341" max="3341" width="11.28515625" style="201" customWidth="1"/>
    <col min="3342" max="3342" width="11.140625" style="201" customWidth="1"/>
    <col min="3343" max="3343" width="8.140625" style="201" customWidth="1"/>
    <col min="3344" max="3344" width="9.28515625" style="201" customWidth="1"/>
    <col min="3345" max="3345" width="9" style="201" customWidth="1"/>
    <col min="3346" max="3346" width="9.28515625" style="201" customWidth="1"/>
    <col min="3347" max="3348" width="0" style="201" hidden="1" customWidth="1"/>
    <col min="3349" max="3349" width="9.140625" style="201" customWidth="1"/>
    <col min="3350" max="3350" width="10.140625" style="201" customWidth="1"/>
    <col min="3351" max="3351" width="9.140625" style="201" customWidth="1"/>
    <col min="3352" max="3358" width="9.5703125" style="201" customWidth="1"/>
    <col min="3359" max="3359" width="19.28515625" style="201" customWidth="1"/>
    <col min="3360" max="3360" width="22.140625" style="201" customWidth="1"/>
    <col min="3361" max="3361" width="16.7109375" style="201" customWidth="1"/>
    <col min="3362" max="3362" width="13.5703125" style="201" customWidth="1"/>
    <col min="3363" max="3363" width="12" style="201" customWidth="1"/>
    <col min="3364" max="3364" width="9.28515625" style="201" customWidth="1"/>
    <col min="3365" max="3365" width="15.28515625" style="201" customWidth="1"/>
    <col min="3366" max="3366" width="9.7109375" style="201" customWidth="1"/>
    <col min="3367" max="3367" width="2.5703125" style="201" customWidth="1"/>
    <col min="3368" max="3368" width="23.85546875" style="201" customWidth="1"/>
    <col min="3369" max="3582" width="9.140625" style="201"/>
    <col min="3583" max="3583" width="6.28515625" style="201" customWidth="1"/>
    <col min="3584" max="3584" width="35.5703125" style="201" customWidth="1"/>
    <col min="3585" max="3587" width="0" style="201" hidden="1" customWidth="1"/>
    <col min="3588" max="3588" width="17.28515625" style="201" customWidth="1"/>
    <col min="3589" max="3589" width="11.28515625" style="201" customWidth="1"/>
    <col min="3590" max="3590" width="9.5703125" style="201" customWidth="1"/>
    <col min="3591" max="3596" width="0" style="201" hidden="1" customWidth="1"/>
    <col min="3597" max="3597" width="11.28515625" style="201" customWidth="1"/>
    <col min="3598" max="3598" width="11.140625" style="201" customWidth="1"/>
    <col min="3599" max="3599" width="8.140625" style="201" customWidth="1"/>
    <col min="3600" max="3600" width="9.28515625" style="201" customWidth="1"/>
    <col min="3601" max="3601" width="9" style="201" customWidth="1"/>
    <col min="3602" max="3602" width="9.28515625" style="201" customWidth="1"/>
    <col min="3603" max="3604" width="0" style="201" hidden="1" customWidth="1"/>
    <col min="3605" max="3605" width="9.140625" style="201" customWidth="1"/>
    <col min="3606" max="3606" width="10.140625" style="201" customWidth="1"/>
    <col min="3607" max="3607" width="9.140625" style="201" customWidth="1"/>
    <col min="3608" max="3614" width="9.5703125" style="201" customWidth="1"/>
    <col min="3615" max="3615" width="19.28515625" style="201" customWidth="1"/>
    <col min="3616" max="3616" width="22.140625" style="201" customWidth="1"/>
    <col min="3617" max="3617" width="16.7109375" style="201" customWidth="1"/>
    <col min="3618" max="3618" width="13.5703125" style="201" customWidth="1"/>
    <col min="3619" max="3619" width="12" style="201" customWidth="1"/>
    <col min="3620" max="3620" width="9.28515625" style="201" customWidth="1"/>
    <col min="3621" max="3621" width="15.28515625" style="201" customWidth="1"/>
    <col min="3622" max="3622" width="9.7109375" style="201" customWidth="1"/>
    <col min="3623" max="3623" width="2.5703125" style="201" customWidth="1"/>
    <col min="3624" max="3624" width="23.85546875" style="201" customWidth="1"/>
    <col min="3625" max="3838" width="9.140625" style="201"/>
    <col min="3839" max="3839" width="6.28515625" style="201" customWidth="1"/>
    <col min="3840" max="3840" width="35.5703125" style="201" customWidth="1"/>
    <col min="3841" max="3843" width="0" style="201" hidden="1" customWidth="1"/>
    <col min="3844" max="3844" width="17.28515625" style="201" customWidth="1"/>
    <col min="3845" max="3845" width="11.28515625" style="201" customWidth="1"/>
    <col min="3846" max="3846" width="9.5703125" style="201" customWidth="1"/>
    <col min="3847" max="3852" width="0" style="201" hidden="1" customWidth="1"/>
    <col min="3853" max="3853" width="11.28515625" style="201" customWidth="1"/>
    <col min="3854" max="3854" width="11.140625" style="201" customWidth="1"/>
    <col min="3855" max="3855" width="8.140625" style="201" customWidth="1"/>
    <col min="3856" max="3856" width="9.28515625" style="201" customWidth="1"/>
    <col min="3857" max="3857" width="9" style="201" customWidth="1"/>
    <col min="3858" max="3858" width="9.28515625" style="201" customWidth="1"/>
    <col min="3859" max="3860" width="0" style="201" hidden="1" customWidth="1"/>
    <col min="3861" max="3861" width="9.140625" style="201" customWidth="1"/>
    <col min="3862" max="3862" width="10.140625" style="201" customWidth="1"/>
    <col min="3863" max="3863" width="9.140625" style="201" customWidth="1"/>
    <col min="3864" max="3870" width="9.5703125" style="201" customWidth="1"/>
    <col min="3871" max="3871" width="19.28515625" style="201" customWidth="1"/>
    <col min="3872" max="3872" width="22.140625" style="201" customWidth="1"/>
    <col min="3873" max="3873" width="16.7109375" style="201" customWidth="1"/>
    <col min="3874" max="3874" width="13.5703125" style="201" customWidth="1"/>
    <col min="3875" max="3875" width="12" style="201" customWidth="1"/>
    <col min="3876" max="3876" width="9.28515625" style="201" customWidth="1"/>
    <col min="3877" max="3877" width="15.28515625" style="201" customWidth="1"/>
    <col min="3878" max="3878" width="9.7109375" style="201" customWidth="1"/>
    <col min="3879" max="3879" width="2.5703125" style="201" customWidth="1"/>
    <col min="3880" max="3880" width="23.85546875" style="201" customWidth="1"/>
    <col min="3881" max="4094" width="9.140625" style="201"/>
    <col min="4095" max="4095" width="6.28515625" style="201" customWidth="1"/>
    <col min="4096" max="4096" width="35.5703125" style="201" customWidth="1"/>
    <col min="4097" max="4099" width="0" style="201" hidden="1" customWidth="1"/>
    <col min="4100" max="4100" width="17.28515625" style="201" customWidth="1"/>
    <col min="4101" max="4101" width="11.28515625" style="201" customWidth="1"/>
    <col min="4102" max="4102" width="9.5703125" style="201" customWidth="1"/>
    <col min="4103" max="4108" width="0" style="201" hidden="1" customWidth="1"/>
    <col min="4109" max="4109" width="11.28515625" style="201" customWidth="1"/>
    <col min="4110" max="4110" width="11.140625" style="201" customWidth="1"/>
    <col min="4111" max="4111" width="8.140625" style="201" customWidth="1"/>
    <col min="4112" max="4112" width="9.28515625" style="201" customWidth="1"/>
    <col min="4113" max="4113" width="9" style="201" customWidth="1"/>
    <col min="4114" max="4114" width="9.28515625" style="201" customWidth="1"/>
    <col min="4115" max="4116" width="0" style="201" hidden="1" customWidth="1"/>
    <col min="4117" max="4117" width="9.140625" style="201" customWidth="1"/>
    <col min="4118" max="4118" width="10.140625" style="201" customWidth="1"/>
    <col min="4119" max="4119" width="9.140625" style="201" customWidth="1"/>
    <col min="4120" max="4126" width="9.5703125" style="201" customWidth="1"/>
    <col min="4127" max="4127" width="19.28515625" style="201" customWidth="1"/>
    <col min="4128" max="4128" width="22.140625" style="201" customWidth="1"/>
    <col min="4129" max="4129" width="16.7109375" style="201" customWidth="1"/>
    <col min="4130" max="4130" width="13.5703125" style="201" customWidth="1"/>
    <col min="4131" max="4131" width="12" style="201" customWidth="1"/>
    <col min="4132" max="4132" width="9.28515625" style="201" customWidth="1"/>
    <col min="4133" max="4133" width="15.28515625" style="201" customWidth="1"/>
    <col min="4134" max="4134" width="9.7109375" style="201" customWidth="1"/>
    <col min="4135" max="4135" width="2.5703125" style="201" customWidth="1"/>
    <col min="4136" max="4136" width="23.85546875" style="201" customWidth="1"/>
    <col min="4137" max="4350" width="9.140625" style="201"/>
    <col min="4351" max="4351" width="6.28515625" style="201" customWidth="1"/>
    <col min="4352" max="4352" width="35.5703125" style="201" customWidth="1"/>
    <col min="4353" max="4355" width="0" style="201" hidden="1" customWidth="1"/>
    <col min="4356" max="4356" width="17.28515625" style="201" customWidth="1"/>
    <col min="4357" max="4357" width="11.28515625" style="201" customWidth="1"/>
    <col min="4358" max="4358" width="9.5703125" style="201" customWidth="1"/>
    <col min="4359" max="4364" width="0" style="201" hidden="1" customWidth="1"/>
    <col min="4365" max="4365" width="11.28515625" style="201" customWidth="1"/>
    <col min="4366" max="4366" width="11.140625" style="201" customWidth="1"/>
    <col min="4367" max="4367" width="8.140625" style="201" customWidth="1"/>
    <col min="4368" max="4368" width="9.28515625" style="201" customWidth="1"/>
    <col min="4369" max="4369" width="9" style="201" customWidth="1"/>
    <col min="4370" max="4370" width="9.28515625" style="201" customWidth="1"/>
    <col min="4371" max="4372" width="0" style="201" hidden="1" customWidth="1"/>
    <col min="4373" max="4373" width="9.140625" style="201" customWidth="1"/>
    <col min="4374" max="4374" width="10.140625" style="201" customWidth="1"/>
    <col min="4375" max="4375" width="9.140625" style="201" customWidth="1"/>
    <col min="4376" max="4382" width="9.5703125" style="201" customWidth="1"/>
    <col min="4383" max="4383" width="19.28515625" style="201" customWidth="1"/>
    <col min="4384" max="4384" width="22.140625" style="201" customWidth="1"/>
    <col min="4385" max="4385" width="16.7109375" style="201" customWidth="1"/>
    <col min="4386" max="4386" width="13.5703125" style="201" customWidth="1"/>
    <col min="4387" max="4387" width="12" style="201" customWidth="1"/>
    <col min="4388" max="4388" width="9.28515625" style="201" customWidth="1"/>
    <col min="4389" max="4389" width="15.28515625" style="201" customWidth="1"/>
    <col min="4390" max="4390" width="9.7109375" style="201" customWidth="1"/>
    <col min="4391" max="4391" width="2.5703125" style="201" customWidth="1"/>
    <col min="4392" max="4392" width="23.85546875" style="201" customWidth="1"/>
    <col min="4393" max="4606" width="9.140625" style="201"/>
    <col min="4607" max="4607" width="6.28515625" style="201" customWidth="1"/>
    <col min="4608" max="4608" width="35.5703125" style="201" customWidth="1"/>
    <col min="4609" max="4611" width="0" style="201" hidden="1" customWidth="1"/>
    <col min="4612" max="4612" width="17.28515625" style="201" customWidth="1"/>
    <col min="4613" max="4613" width="11.28515625" style="201" customWidth="1"/>
    <col min="4614" max="4614" width="9.5703125" style="201" customWidth="1"/>
    <col min="4615" max="4620" width="0" style="201" hidden="1" customWidth="1"/>
    <col min="4621" max="4621" width="11.28515625" style="201" customWidth="1"/>
    <col min="4622" max="4622" width="11.140625" style="201" customWidth="1"/>
    <col min="4623" max="4623" width="8.140625" style="201" customWidth="1"/>
    <col min="4624" max="4624" width="9.28515625" style="201" customWidth="1"/>
    <col min="4625" max="4625" width="9" style="201" customWidth="1"/>
    <col min="4626" max="4626" width="9.28515625" style="201" customWidth="1"/>
    <col min="4627" max="4628" width="0" style="201" hidden="1" customWidth="1"/>
    <col min="4629" max="4629" width="9.140625" style="201" customWidth="1"/>
    <col min="4630" max="4630" width="10.140625" style="201" customWidth="1"/>
    <col min="4631" max="4631" width="9.140625" style="201" customWidth="1"/>
    <col min="4632" max="4638" width="9.5703125" style="201" customWidth="1"/>
    <col min="4639" max="4639" width="19.28515625" style="201" customWidth="1"/>
    <col min="4640" max="4640" width="22.140625" style="201" customWidth="1"/>
    <col min="4641" max="4641" width="16.7109375" style="201" customWidth="1"/>
    <col min="4642" max="4642" width="13.5703125" style="201" customWidth="1"/>
    <col min="4643" max="4643" width="12" style="201" customWidth="1"/>
    <col min="4644" max="4644" width="9.28515625" style="201" customWidth="1"/>
    <col min="4645" max="4645" width="15.28515625" style="201" customWidth="1"/>
    <col min="4646" max="4646" width="9.7109375" style="201" customWidth="1"/>
    <col min="4647" max="4647" width="2.5703125" style="201" customWidth="1"/>
    <col min="4648" max="4648" width="23.85546875" style="201" customWidth="1"/>
    <col min="4649" max="4862" width="9.140625" style="201"/>
    <col min="4863" max="4863" width="6.28515625" style="201" customWidth="1"/>
    <col min="4864" max="4864" width="35.5703125" style="201" customWidth="1"/>
    <col min="4865" max="4867" width="0" style="201" hidden="1" customWidth="1"/>
    <col min="4868" max="4868" width="17.28515625" style="201" customWidth="1"/>
    <col min="4869" max="4869" width="11.28515625" style="201" customWidth="1"/>
    <col min="4870" max="4870" width="9.5703125" style="201" customWidth="1"/>
    <col min="4871" max="4876" width="0" style="201" hidden="1" customWidth="1"/>
    <col min="4877" max="4877" width="11.28515625" style="201" customWidth="1"/>
    <col min="4878" max="4878" width="11.140625" style="201" customWidth="1"/>
    <col min="4879" max="4879" width="8.140625" style="201" customWidth="1"/>
    <col min="4880" max="4880" width="9.28515625" style="201" customWidth="1"/>
    <col min="4881" max="4881" width="9" style="201" customWidth="1"/>
    <col min="4882" max="4882" width="9.28515625" style="201" customWidth="1"/>
    <col min="4883" max="4884" width="0" style="201" hidden="1" customWidth="1"/>
    <col min="4885" max="4885" width="9.140625" style="201" customWidth="1"/>
    <col min="4886" max="4886" width="10.140625" style="201" customWidth="1"/>
    <col min="4887" max="4887" width="9.140625" style="201" customWidth="1"/>
    <col min="4888" max="4894" width="9.5703125" style="201" customWidth="1"/>
    <col min="4895" max="4895" width="19.28515625" style="201" customWidth="1"/>
    <col min="4896" max="4896" width="22.140625" style="201" customWidth="1"/>
    <col min="4897" max="4897" width="16.7109375" style="201" customWidth="1"/>
    <col min="4898" max="4898" width="13.5703125" style="201" customWidth="1"/>
    <col min="4899" max="4899" width="12" style="201" customWidth="1"/>
    <col min="4900" max="4900" width="9.28515625" style="201" customWidth="1"/>
    <col min="4901" max="4901" width="15.28515625" style="201" customWidth="1"/>
    <col min="4902" max="4902" width="9.7109375" style="201" customWidth="1"/>
    <col min="4903" max="4903" width="2.5703125" style="201" customWidth="1"/>
    <col min="4904" max="4904" width="23.85546875" style="201" customWidth="1"/>
    <col min="4905" max="5118" width="9.140625" style="201"/>
    <col min="5119" max="5119" width="6.28515625" style="201" customWidth="1"/>
    <col min="5120" max="5120" width="35.5703125" style="201" customWidth="1"/>
    <col min="5121" max="5123" width="0" style="201" hidden="1" customWidth="1"/>
    <col min="5124" max="5124" width="17.28515625" style="201" customWidth="1"/>
    <col min="5125" max="5125" width="11.28515625" style="201" customWidth="1"/>
    <col min="5126" max="5126" width="9.5703125" style="201" customWidth="1"/>
    <col min="5127" max="5132" width="0" style="201" hidden="1" customWidth="1"/>
    <col min="5133" max="5133" width="11.28515625" style="201" customWidth="1"/>
    <col min="5134" max="5134" width="11.140625" style="201" customWidth="1"/>
    <col min="5135" max="5135" width="8.140625" style="201" customWidth="1"/>
    <col min="5136" max="5136" width="9.28515625" style="201" customWidth="1"/>
    <col min="5137" max="5137" width="9" style="201" customWidth="1"/>
    <col min="5138" max="5138" width="9.28515625" style="201" customWidth="1"/>
    <col min="5139" max="5140" width="0" style="201" hidden="1" customWidth="1"/>
    <col min="5141" max="5141" width="9.140625" style="201" customWidth="1"/>
    <col min="5142" max="5142" width="10.140625" style="201" customWidth="1"/>
    <col min="5143" max="5143" width="9.140625" style="201" customWidth="1"/>
    <col min="5144" max="5150" width="9.5703125" style="201" customWidth="1"/>
    <col min="5151" max="5151" width="19.28515625" style="201" customWidth="1"/>
    <col min="5152" max="5152" width="22.140625" style="201" customWidth="1"/>
    <col min="5153" max="5153" width="16.7109375" style="201" customWidth="1"/>
    <col min="5154" max="5154" width="13.5703125" style="201" customWidth="1"/>
    <col min="5155" max="5155" width="12" style="201" customWidth="1"/>
    <col min="5156" max="5156" width="9.28515625" style="201" customWidth="1"/>
    <col min="5157" max="5157" width="15.28515625" style="201" customWidth="1"/>
    <col min="5158" max="5158" width="9.7109375" style="201" customWidth="1"/>
    <col min="5159" max="5159" width="2.5703125" style="201" customWidth="1"/>
    <col min="5160" max="5160" width="23.85546875" style="201" customWidth="1"/>
    <col min="5161" max="5374" width="9.140625" style="201"/>
    <col min="5375" max="5375" width="6.28515625" style="201" customWidth="1"/>
    <col min="5376" max="5376" width="35.5703125" style="201" customWidth="1"/>
    <col min="5377" max="5379" width="0" style="201" hidden="1" customWidth="1"/>
    <col min="5380" max="5380" width="17.28515625" style="201" customWidth="1"/>
    <col min="5381" max="5381" width="11.28515625" style="201" customWidth="1"/>
    <col min="5382" max="5382" width="9.5703125" style="201" customWidth="1"/>
    <col min="5383" max="5388" width="0" style="201" hidden="1" customWidth="1"/>
    <col min="5389" max="5389" width="11.28515625" style="201" customWidth="1"/>
    <col min="5390" max="5390" width="11.140625" style="201" customWidth="1"/>
    <col min="5391" max="5391" width="8.140625" style="201" customWidth="1"/>
    <col min="5392" max="5392" width="9.28515625" style="201" customWidth="1"/>
    <col min="5393" max="5393" width="9" style="201" customWidth="1"/>
    <col min="5394" max="5394" width="9.28515625" style="201" customWidth="1"/>
    <col min="5395" max="5396" width="0" style="201" hidden="1" customWidth="1"/>
    <col min="5397" max="5397" width="9.140625" style="201" customWidth="1"/>
    <col min="5398" max="5398" width="10.140625" style="201" customWidth="1"/>
    <col min="5399" max="5399" width="9.140625" style="201" customWidth="1"/>
    <col min="5400" max="5406" width="9.5703125" style="201" customWidth="1"/>
    <col min="5407" max="5407" width="19.28515625" style="201" customWidth="1"/>
    <col min="5408" max="5408" width="22.140625" style="201" customWidth="1"/>
    <col min="5409" max="5409" width="16.7109375" style="201" customWidth="1"/>
    <col min="5410" max="5410" width="13.5703125" style="201" customWidth="1"/>
    <col min="5411" max="5411" width="12" style="201" customWidth="1"/>
    <col min="5412" max="5412" width="9.28515625" style="201" customWidth="1"/>
    <col min="5413" max="5413" width="15.28515625" style="201" customWidth="1"/>
    <col min="5414" max="5414" width="9.7109375" style="201" customWidth="1"/>
    <col min="5415" max="5415" width="2.5703125" style="201" customWidth="1"/>
    <col min="5416" max="5416" width="23.85546875" style="201" customWidth="1"/>
    <col min="5417" max="5630" width="9.140625" style="201"/>
    <col min="5631" max="5631" width="6.28515625" style="201" customWidth="1"/>
    <col min="5632" max="5632" width="35.5703125" style="201" customWidth="1"/>
    <col min="5633" max="5635" width="0" style="201" hidden="1" customWidth="1"/>
    <col min="5636" max="5636" width="17.28515625" style="201" customWidth="1"/>
    <col min="5637" max="5637" width="11.28515625" style="201" customWidth="1"/>
    <col min="5638" max="5638" width="9.5703125" style="201" customWidth="1"/>
    <col min="5639" max="5644" width="0" style="201" hidden="1" customWidth="1"/>
    <col min="5645" max="5645" width="11.28515625" style="201" customWidth="1"/>
    <col min="5646" max="5646" width="11.140625" style="201" customWidth="1"/>
    <col min="5647" max="5647" width="8.140625" style="201" customWidth="1"/>
    <col min="5648" max="5648" width="9.28515625" style="201" customWidth="1"/>
    <col min="5649" max="5649" width="9" style="201" customWidth="1"/>
    <col min="5650" max="5650" width="9.28515625" style="201" customWidth="1"/>
    <col min="5651" max="5652" width="0" style="201" hidden="1" customWidth="1"/>
    <col min="5653" max="5653" width="9.140625" style="201" customWidth="1"/>
    <col min="5654" max="5654" width="10.140625" style="201" customWidth="1"/>
    <col min="5655" max="5655" width="9.140625" style="201" customWidth="1"/>
    <col min="5656" max="5662" width="9.5703125" style="201" customWidth="1"/>
    <col min="5663" max="5663" width="19.28515625" style="201" customWidth="1"/>
    <col min="5664" max="5664" width="22.140625" style="201" customWidth="1"/>
    <col min="5665" max="5665" width="16.7109375" style="201" customWidth="1"/>
    <col min="5666" max="5666" width="13.5703125" style="201" customWidth="1"/>
    <col min="5667" max="5667" width="12" style="201" customWidth="1"/>
    <col min="5668" max="5668" width="9.28515625" style="201" customWidth="1"/>
    <col min="5669" max="5669" width="15.28515625" style="201" customWidth="1"/>
    <col min="5670" max="5670" width="9.7109375" style="201" customWidth="1"/>
    <col min="5671" max="5671" width="2.5703125" style="201" customWidth="1"/>
    <col min="5672" max="5672" width="23.85546875" style="201" customWidth="1"/>
    <col min="5673" max="5886" width="9.140625" style="201"/>
    <col min="5887" max="5887" width="6.28515625" style="201" customWidth="1"/>
    <col min="5888" max="5888" width="35.5703125" style="201" customWidth="1"/>
    <col min="5889" max="5891" width="0" style="201" hidden="1" customWidth="1"/>
    <col min="5892" max="5892" width="17.28515625" style="201" customWidth="1"/>
    <col min="5893" max="5893" width="11.28515625" style="201" customWidth="1"/>
    <col min="5894" max="5894" width="9.5703125" style="201" customWidth="1"/>
    <col min="5895" max="5900" width="0" style="201" hidden="1" customWidth="1"/>
    <col min="5901" max="5901" width="11.28515625" style="201" customWidth="1"/>
    <col min="5902" max="5902" width="11.140625" style="201" customWidth="1"/>
    <col min="5903" max="5903" width="8.140625" style="201" customWidth="1"/>
    <col min="5904" max="5904" width="9.28515625" style="201" customWidth="1"/>
    <col min="5905" max="5905" width="9" style="201" customWidth="1"/>
    <col min="5906" max="5906" width="9.28515625" style="201" customWidth="1"/>
    <col min="5907" max="5908" width="0" style="201" hidden="1" customWidth="1"/>
    <col min="5909" max="5909" width="9.140625" style="201" customWidth="1"/>
    <col min="5910" max="5910" width="10.140625" style="201" customWidth="1"/>
    <col min="5911" max="5911" width="9.140625" style="201" customWidth="1"/>
    <col min="5912" max="5918" width="9.5703125" style="201" customWidth="1"/>
    <col min="5919" max="5919" width="19.28515625" style="201" customWidth="1"/>
    <col min="5920" max="5920" width="22.140625" style="201" customWidth="1"/>
    <col min="5921" max="5921" width="16.7109375" style="201" customWidth="1"/>
    <col min="5922" max="5922" width="13.5703125" style="201" customWidth="1"/>
    <col min="5923" max="5923" width="12" style="201" customWidth="1"/>
    <col min="5924" max="5924" width="9.28515625" style="201" customWidth="1"/>
    <col min="5925" max="5925" width="15.28515625" style="201" customWidth="1"/>
    <col min="5926" max="5926" width="9.7109375" style="201" customWidth="1"/>
    <col min="5927" max="5927" width="2.5703125" style="201" customWidth="1"/>
    <col min="5928" max="5928" width="23.85546875" style="201" customWidth="1"/>
    <col min="5929" max="6142" width="9.140625" style="201"/>
    <col min="6143" max="6143" width="6.28515625" style="201" customWidth="1"/>
    <col min="6144" max="6144" width="35.5703125" style="201" customWidth="1"/>
    <col min="6145" max="6147" width="0" style="201" hidden="1" customWidth="1"/>
    <col min="6148" max="6148" width="17.28515625" style="201" customWidth="1"/>
    <col min="6149" max="6149" width="11.28515625" style="201" customWidth="1"/>
    <col min="6150" max="6150" width="9.5703125" style="201" customWidth="1"/>
    <col min="6151" max="6156" width="0" style="201" hidden="1" customWidth="1"/>
    <col min="6157" max="6157" width="11.28515625" style="201" customWidth="1"/>
    <col min="6158" max="6158" width="11.140625" style="201" customWidth="1"/>
    <col min="6159" max="6159" width="8.140625" style="201" customWidth="1"/>
    <col min="6160" max="6160" width="9.28515625" style="201" customWidth="1"/>
    <col min="6161" max="6161" width="9" style="201" customWidth="1"/>
    <col min="6162" max="6162" width="9.28515625" style="201" customWidth="1"/>
    <col min="6163" max="6164" width="0" style="201" hidden="1" customWidth="1"/>
    <col min="6165" max="6165" width="9.140625" style="201" customWidth="1"/>
    <col min="6166" max="6166" width="10.140625" style="201" customWidth="1"/>
    <col min="6167" max="6167" width="9.140625" style="201" customWidth="1"/>
    <col min="6168" max="6174" width="9.5703125" style="201" customWidth="1"/>
    <col min="6175" max="6175" width="19.28515625" style="201" customWidth="1"/>
    <col min="6176" max="6176" width="22.140625" style="201" customWidth="1"/>
    <col min="6177" max="6177" width="16.7109375" style="201" customWidth="1"/>
    <col min="6178" max="6178" width="13.5703125" style="201" customWidth="1"/>
    <col min="6179" max="6179" width="12" style="201" customWidth="1"/>
    <col min="6180" max="6180" width="9.28515625" style="201" customWidth="1"/>
    <col min="6181" max="6181" width="15.28515625" style="201" customWidth="1"/>
    <col min="6182" max="6182" width="9.7109375" style="201" customWidth="1"/>
    <col min="6183" max="6183" width="2.5703125" style="201" customWidth="1"/>
    <col min="6184" max="6184" width="23.85546875" style="201" customWidth="1"/>
    <col min="6185" max="6398" width="9.140625" style="201"/>
    <col min="6399" max="6399" width="6.28515625" style="201" customWidth="1"/>
    <col min="6400" max="6400" width="35.5703125" style="201" customWidth="1"/>
    <col min="6401" max="6403" width="0" style="201" hidden="1" customWidth="1"/>
    <col min="6404" max="6404" width="17.28515625" style="201" customWidth="1"/>
    <col min="6405" max="6405" width="11.28515625" style="201" customWidth="1"/>
    <col min="6406" max="6406" width="9.5703125" style="201" customWidth="1"/>
    <col min="6407" max="6412" width="0" style="201" hidden="1" customWidth="1"/>
    <col min="6413" max="6413" width="11.28515625" style="201" customWidth="1"/>
    <col min="6414" max="6414" width="11.140625" style="201" customWidth="1"/>
    <col min="6415" max="6415" width="8.140625" style="201" customWidth="1"/>
    <col min="6416" max="6416" width="9.28515625" style="201" customWidth="1"/>
    <col min="6417" max="6417" width="9" style="201" customWidth="1"/>
    <col min="6418" max="6418" width="9.28515625" style="201" customWidth="1"/>
    <col min="6419" max="6420" width="0" style="201" hidden="1" customWidth="1"/>
    <col min="6421" max="6421" width="9.140625" style="201" customWidth="1"/>
    <col min="6422" max="6422" width="10.140625" style="201" customWidth="1"/>
    <col min="6423" max="6423" width="9.140625" style="201" customWidth="1"/>
    <col min="6424" max="6430" width="9.5703125" style="201" customWidth="1"/>
    <col min="6431" max="6431" width="19.28515625" style="201" customWidth="1"/>
    <col min="6432" max="6432" width="22.140625" style="201" customWidth="1"/>
    <col min="6433" max="6433" width="16.7109375" style="201" customWidth="1"/>
    <col min="6434" max="6434" width="13.5703125" style="201" customWidth="1"/>
    <col min="6435" max="6435" width="12" style="201" customWidth="1"/>
    <col min="6436" max="6436" width="9.28515625" style="201" customWidth="1"/>
    <col min="6437" max="6437" width="15.28515625" style="201" customWidth="1"/>
    <col min="6438" max="6438" width="9.7109375" style="201" customWidth="1"/>
    <col min="6439" max="6439" width="2.5703125" style="201" customWidth="1"/>
    <col min="6440" max="6440" width="23.85546875" style="201" customWidth="1"/>
    <col min="6441" max="6654" width="9.140625" style="201"/>
    <col min="6655" max="6655" width="6.28515625" style="201" customWidth="1"/>
    <col min="6656" max="6656" width="35.5703125" style="201" customWidth="1"/>
    <col min="6657" max="6659" width="0" style="201" hidden="1" customWidth="1"/>
    <col min="6660" max="6660" width="17.28515625" style="201" customWidth="1"/>
    <col min="6661" max="6661" width="11.28515625" style="201" customWidth="1"/>
    <col min="6662" max="6662" width="9.5703125" style="201" customWidth="1"/>
    <col min="6663" max="6668" width="0" style="201" hidden="1" customWidth="1"/>
    <col min="6669" max="6669" width="11.28515625" style="201" customWidth="1"/>
    <col min="6670" max="6670" width="11.140625" style="201" customWidth="1"/>
    <col min="6671" max="6671" width="8.140625" style="201" customWidth="1"/>
    <col min="6672" max="6672" width="9.28515625" style="201" customWidth="1"/>
    <col min="6673" max="6673" width="9" style="201" customWidth="1"/>
    <col min="6674" max="6674" width="9.28515625" style="201" customWidth="1"/>
    <col min="6675" max="6676" width="0" style="201" hidden="1" customWidth="1"/>
    <col min="6677" max="6677" width="9.140625" style="201" customWidth="1"/>
    <col min="6678" max="6678" width="10.140625" style="201" customWidth="1"/>
    <col min="6679" max="6679" width="9.140625" style="201" customWidth="1"/>
    <col min="6680" max="6686" width="9.5703125" style="201" customWidth="1"/>
    <col min="6687" max="6687" width="19.28515625" style="201" customWidth="1"/>
    <col min="6688" max="6688" width="22.140625" style="201" customWidth="1"/>
    <col min="6689" max="6689" width="16.7109375" style="201" customWidth="1"/>
    <col min="6690" max="6690" width="13.5703125" style="201" customWidth="1"/>
    <col min="6691" max="6691" width="12" style="201" customWidth="1"/>
    <col min="6692" max="6692" width="9.28515625" style="201" customWidth="1"/>
    <col min="6693" max="6693" width="15.28515625" style="201" customWidth="1"/>
    <col min="6694" max="6694" width="9.7109375" style="201" customWidth="1"/>
    <col min="6695" max="6695" width="2.5703125" style="201" customWidth="1"/>
    <col min="6696" max="6696" width="23.85546875" style="201" customWidth="1"/>
    <col min="6697" max="6910" width="9.140625" style="201"/>
    <col min="6911" max="6911" width="6.28515625" style="201" customWidth="1"/>
    <col min="6912" max="6912" width="35.5703125" style="201" customWidth="1"/>
    <col min="6913" max="6915" width="0" style="201" hidden="1" customWidth="1"/>
    <col min="6916" max="6916" width="17.28515625" style="201" customWidth="1"/>
    <col min="6917" max="6917" width="11.28515625" style="201" customWidth="1"/>
    <col min="6918" max="6918" width="9.5703125" style="201" customWidth="1"/>
    <col min="6919" max="6924" width="0" style="201" hidden="1" customWidth="1"/>
    <col min="6925" max="6925" width="11.28515625" style="201" customWidth="1"/>
    <col min="6926" max="6926" width="11.140625" style="201" customWidth="1"/>
    <col min="6927" max="6927" width="8.140625" style="201" customWidth="1"/>
    <col min="6928" max="6928" width="9.28515625" style="201" customWidth="1"/>
    <col min="6929" max="6929" width="9" style="201" customWidth="1"/>
    <col min="6930" max="6930" width="9.28515625" style="201" customWidth="1"/>
    <col min="6931" max="6932" width="0" style="201" hidden="1" customWidth="1"/>
    <col min="6933" max="6933" width="9.140625" style="201" customWidth="1"/>
    <col min="6934" max="6934" width="10.140625" style="201" customWidth="1"/>
    <col min="6935" max="6935" width="9.140625" style="201" customWidth="1"/>
    <col min="6936" max="6942" width="9.5703125" style="201" customWidth="1"/>
    <col min="6943" max="6943" width="19.28515625" style="201" customWidth="1"/>
    <col min="6944" max="6944" width="22.140625" style="201" customWidth="1"/>
    <col min="6945" max="6945" width="16.7109375" style="201" customWidth="1"/>
    <col min="6946" max="6946" width="13.5703125" style="201" customWidth="1"/>
    <col min="6947" max="6947" width="12" style="201" customWidth="1"/>
    <col min="6948" max="6948" width="9.28515625" style="201" customWidth="1"/>
    <col min="6949" max="6949" width="15.28515625" style="201" customWidth="1"/>
    <col min="6950" max="6950" width="9.7109375" style="201" customWidth="1"/>
    <col min="6951" max="6951" width="2.5703125" style="201" customWidth="1"/>
    <col min="6952" max="6952" width="23.85546875" style="201" customWidth="1"/>
    <col min="6953" max="7166" width="9.140625" style="201"/>
    <col min="7167" max="7167" width="6.28515625" style="201" customWidth="1"/>
    <col min="7168" max="7168" width="35.5703125" style="201" customWidth="1"/>
    <col min="7169" max="7171" width="0" style="201" hidden="1" customWidth="1"/>
    <col min="7172" max="7172" width="17.28515625" style="201" customWidth="1"/>
    <col min="7173" max="7173" width="11.28515625" style="201" customWidth="1"/>
    <col min="7174" max="7174" width="9.5703125" style="201" customWidth="1"/>
    <col min="7175" max="7180" width="0" style="201" hidden="1" customWidth="1"/>
    <col min="7181" max="7181" width="11.28515625" style="201" customWidth="1"/>
    <col min="7182" max="7182" width="11.140625" style="201" customWidth="1"/>
    <col min="7183" max="7183" width="8.140625" style="201" customWidth="1"/>
    <col min="7184" max="7184" width="9.28515625" style="201" customWidth="1"/>
    <col min="7185" max="7185" width="9" style="201" customWidth="1"/>
    <col min="7186" max="7186" width="9.28515625" style="201" customWidth="1"/>
    <col min="7187" max="7188" width="0" style="201" hidden="1" customWidth="1"/>
    <col min="7189" max="7189" width="9.140625" style="201" customWidth="1"/>
    <col min="7190" max="7190" width="10.140625" style="201" customWidth="1"/>
    <col min="7191" max="7191" width="9.140625" style="201" customWidth="1"/>
    <col min="7192" max="7198" width="9.5703125" style="201" customWidth="1"/>
    <col min="7199" max="7199" width="19.28515625" style="201" customWidth="1"/>
    <col min="7200" max="7200" width="22.140625" style="201" customWidth="1"/>
    <col min="7201" max="7201" width="16.7109375" style="201" customWidth="1"/>
    <col min="7202" max="7202" width="13.5703125" style="201" customWidth="1"/>
    <col min="7203" max="7203" width="12" style="201" customWidth="1"/>
    <col min="7204" max="7204" width="9.28515625" style="201" customWidth="1"/>
    <col min="7205" max="7205" width="15.28515625" style="201" customWidth="1"/>
    <col min="7206" max="7206" width="9.7109375" style="201" customWidth="1"/>
    <col min="7207" max="7207" width="2.5703125" style="201" customWidth="1"/>
    <col min="7208" max="7208" width="23.85546875" style="201" customWidth="1"/>
    <col min="7209" max="7422" width="9.140625" style="201"/>
    <col min="7423" max="7423" width="6.28515625" style="201" customWidth="1"/>
    <col min="7424" max="7424" width="35.5703125" style="201" customWidth="1"/>
    <col min="7425" max="7427" width="0" style="201" hidden="1" customWidth="1"/>
    <col min="7428" max="7428" width="17.28515625" style="201" customWidth="1"/>
    <col min="7429" max="7429" width="11.28515625" style="201" customWidth="1"/>
    <col min="7430" max="7430" width="9.5703125" style="201" customWidth="1"/>
    <col min="7431" max="7436" width="0" style="201" hidden="1" customWidth="1"/>
    <col min="7437" max="7437" width="11.28515625" style="201" customWidth="1"/>
    <col min="7438" max="7438" width="11.140625" style="201" customWidth="1"/>
    <col min="7439" max="7439" width="8.140625" style="201" customWidth="1"/>
    <col min="7440" max="7440" width="9.28515625" style="201" customWidth="1"/>
    <col min="7441" max="7441" width="9" style="201" customWidth="1"/>
    <col min="7442" max="7442" width="9.28515625" style="201" customWidth="1"/>
    <col min="7443" max="7444" width="0" style="201" hidden="1" customWidth="1"/>
    <col min="7445" max="7445" width="9.140625" style="201" customWidth="1"/>
    <col min="7446" max="7446" width="10.140625" style="201" customWidth="1"/>
    <col min="7447" max="7447" width="9.140625" style="201" customWidth="1"/>
    <col min="7448" max="7454" width="9.5703125" style="201" customWidth="1"/>
    <col min="7455" max="7455" width="19.28515625" style="201" customWidth="1"/>
    <col min="7456" max="7456" width="22.140625" style="201" customWidth="1"/>
    <col min="7457" max="7457" width="16.7109375" style="201" customWidth="1"/>
    <col min="7458" max="7458" width="13.5703125" style="201" customWidth="1"/>
    <col min="7459" max="7459" width="12" style="201" customWidth="1"/>
    <col min="7460" max="7460" width="9.28515625" style="201" customWidth="1"/>
    <col min="7461" max="7461" width="15.28515625" style="201" customWidth="1"/>
    <col min="7462" max="7462" width="9.7109375" style="201" customWidth="1"/>
    <col min="7463" max="7463" width="2.5703125" style="201" customWidth="1"/>
    <col min="7464" max="7464" width="23.85546875" style="201" customWidth="1"/>
    <col min="7465" max="7678" width="9.140625" style="201"/>
    <col min="7679" max="7679" width="6.28515625" style="201" customWidth="1"/>
    <col min="7680" max="7680" width="35.5703125" style="201" customWidth="1"/>
    <col min="7681" max="7683" width="0" style="201" hidden="1" customWidth="1"/>
    <col min="7684" max="7684" width="17.28515625" style="201" customWidth="1"/>
    <col min="7685" max="7685" width="11.28515625" style="201" customWidth="1"/>
    <col min="7686" max="7686" width="9.5703125" style="201" customWidth="1"/>
    <col min="7687" max="7692" width="0" style="201" hidden="1" customWidth="1"/>
    <col min="7693" max="7693" width="11.28515625" style="201" customWidth="1"/>
    <col min="7694" max="7694" width="11.140625" style="201" customWidth="1"/>
    <col min="7695" max="7695" width="8.140625" style="201" customWidth="1"/>
    <col min="7696" max="7696" width="9.28515625" style="201" customWidth="1"/>
    <col min="7697" max="7697" width="9" style="201" customWidth="1"/>
    <col min="7698" max="7698" width="9.28515625" style="201" customWidth="1"/>
    <col min="7699" max="7700" width="0" style="201" hidden="1" customWidth="1"/>
    <col min="7701" max="7701" width="9.140625" style="201" customWidth="1"/>
    <col min="7702" max="7702" width="10.140625" style="201" customWidth="1"/>
    <col min="7703" max="7703" width="9.140625" style="201" customWidth="1"/>
    <col min="7704" max="7710" width="9.5703125" style="201" customWidth="1"/>
    <col min="7711" max="7711" width="19.28515625" style="201" customWidth="1"/>
    <col min="7712" max="7712" width="22.140625" style="201" customWidth="1"/>
    <col min="7713" max="7713" width="16.7109375" style="201" customWidth="1"/>
    <col min="7714" max="7714" width="13.5703125" style="201" customWidth="1"/>
    <col min="7715" max="7715" width="12" style="201" customWidth="1"/>
    <col min="7716" max="7716" width="9.28515625" style="201" customWidth="1"/>
    <col min="7717" max="7717" width="15.28515625" style="201" customWidth="1"/>
    <col min="7718" max="7718" width="9.7109375" style="201" customWidth="1"/>
    <col min="7719" max="7719" width="2.5703125" style="201" customWidth="1"/>
    <col min="7720" max="7720" width="23.85546875" style="201" customWidth="1"/>
    <col min="7721" max="7934" width="9.140625" style="201"/>
    <col min="7935" max="7935" width="6.28515625" style="201" customWidth="1"/>
    <col min="7936" max="7936" width="35.5703125" style="201" customWidth="1"/>
    <col min="7937" max="7939" width="0" style="201" hidden="1" customWidth="1"/>
    <col min="7940" max="7940" width="17.28515625" style="201" customWidth="1"/>
    <col min="7941" max="7941" width="11.28515625" style="201" customWidth="1"/>
    <col min="7942" max="7942" width="9.5703125" style="201" customWidth="1"/>
    <col min="7943" max="7948" width="0" style="201" hidden="1" customWidth="1"/>
    <col min="7949" max="7949" width="11.28515625" style="201" customWidth="1"/>
    <col min="7950" max="7950" width="11.140625" style="201" customWidth="1"/>
    <col min="7951" max="7951" width="8.140625" style="201" customWidth="1"/>
    <col min="7952" max="7952" width="9.28515625" style="201" customWidth="1"/>
    <col min="7953" max="7953" width="9" style="201" customWidth="1"/>
    <col min="7954" max="7954" width="9.28515625" style="201" customWidth="1"/>
    <col min="7955" max="7956" width="0" style="201" hidden="1" customWidth="1"/>
    <col min="7957" max="7957" width="9.140625" style="201" customWidth="1"/>
    <col min="7958" max="7958" width="10.140625" style="201" customWidth="1"/>
    <col min="7959" max="7959" width="9.140625" style="201" customWidth="1"/>
    <col min="7960" max="7966" width="9.5703125" style="201" customWidth="1"/>
    <col min="7967" max="7967" width="19.28515625" style="201" customWidth="1"/>
    <col min="7968" max="7968" width="22.140625" style="201" customWidth="1"/>
    <col min="7969" max="7969" width="16.7109375" style="201" customWidth="1"/>
    <col min="7970" max="7970" width="13.5703125" style="201" customWidth="1"/>
    <col min="7971" max="7971" width="12" style="201" customWidth="1"/>
    <col min="7972" max="7972" width="9.28515625" style="201" customWidth="1"/>
    <col min="7973" max="7973" width="15.28515625" style="201" customWidth="1"/>
    <col min="7974" max="7974" width="9.7109375" style="201" customWidth="1"/>
    <col min="7975" max="7975" width="2.5703125" style="201" customWidth="1"/>
    <col min="7976" max="7976" width="23.85546875" style="201" customWidth="1"/>
    <col min="7977" max="8190" width="9.140625" style="201"/>
    <col min="8191" max="8191" width="6.28515625" style="201" customWidth="1"/>
    <col min="8192" max="8192" width="35.5703125" style="201" customWidth="1"/>
    <col min="8193" max="8195" width="0" style="201" hidden="1" customWidth="1"/>
    <col min="8196" max="8196" width="17.28515625" style="201" customWidth="1"/>
    <col min="8197" max="8197" width="11.28515625" style="201" customWidth="1"/>
    <col min="8198" max="8198" width="9.5703125" style="201" customWidth="1"/>
    <col min="8199" max="8204" width="0" style="201" hidden="1" customWidth="1"/>
    <col min="8205" max="8205" width="11.28515625" style="201" customWidth="1"/>
    <col min="8206" max="8206" width="11.140625" style="201" customWidth="1"/>
    <col min="8207" max="8207" width="8.140625" style="201" customWidth="1"/>
    <col min="8208" max="8208" width="9.28515625" style="201" customWidth="1"/>
    <col min="8209" max="8209" width="9" style="201" customWidth="1"/>
    <col min="8210" max="8210" width="9.28515625" style="201" customWidth="1"/>
    <col min="8211" max="8212" width="0" style="201" hidden="1" customWidth="1"/>
    <col min="8213" max="8213" width="9.140625" style="201" customWidth="1"/>
    <col min="8214" max="8214" width="10.140625" style="201" customWidth="1"/>
    <col min="8215" max="8215" width="9.140625" style="201" customWidth="1"/>
    <col min="8216" max="8222" width="9.5703125" style="201" customWidth="1"/>
    <col min="8223" max="8223" width="19.28515625" style="201" customWidth="1"/>
    <col min="8224" max="8224" width="22.140625" style="201" customWidth="1"/>
    <col min="8225" max="8225" width="16.7109375" style="201" customWidth="1"/>
    <col min="8226" max="8226" width="13.5703125" style="201" customWidth="1"/>
    <col min="8227" max="8227" width="12" style="201" customWidth="1"/>
    <col min="8228" max="8228" width="9.28515625" style="201" customWidth="1"/>
    <col min="8229" max="8229" width="15.28515625" style="201" customWidth="1"/>
    <col min="8230" max="8230" width="9.7109375" style="201" customWidth="1"/>
    <col min="8231" max="8231" width="2.5703125" style="201" customWidth="1"/>
    <col min="8232" max="8232" width="23.85546875" style="201" customWidth="1"/>
    <col min="8233" max="8446" width="9.140625" style="201"/>
    <col min="8447" max="8447" width="6.28515625" style="201" customWidth="1"/>
    <col min="8448" max="8448" width="35.5703125" style="201" customWidth="1"/>
    <col min="8449" max="8451" width="0" style="201" hidden="1" customWidth="1"/>
    <col min="8452" max="8452" width="17.28515625" style="201" customWidth="1"/>
    <col min="8453" max="8453" width="11.28515625" style="201" customWidth="1"/>
    <col min="8454" max="8454" width="9.5703125" style="201" customWidth="1"/>
    <col min="8455" max="8460" width="0" style="201" hidden="1" customWidth="1"/>
    <col min="8461" max="8461" width="11.28515625" style="201" customWidth="1"/>
    <col min="8462" max="8462" width="11.140625" style="201" customWidth="1"/>
    <col min="8463" max="8463" width="8.140625" style="201" customWidth="1"/>
    <col min="8464" max="8464" width="9.28515625" style="201" customWidth="1"/>
    <col min="8465" max="8465" width="9" style="201" customWidth="1"/>
    <col min="8466" max="8466" width="9.28515625" style="201" customWidth="1"/>
    <col min="8467" max="8468" width="0" style="201" hidden="1" customWidth="1"/>
    <col min="8469" max="8469" width="9.140625" style="201" customWidth="1"/>
    <col min="8470" max="8470" width="10.140625" style="201" customWidth="1"/>
    <col min="8471" max="8471" width="9.140625" style="201" customWidth="1"/>
    <col min="8472" max="8478" width="9.5703125" style="201" customWidth="1"/>
    <col min="8479" max="8479" width="19.28515625" style="201" customWidth="1"/>
    <col min="8480" max="8480" width="22.140625" style="201" customWidth="1"/>
    <col min="8481" max="8481" width="16.7109375" style="201" customWidth="1"/>
    <col min="8482" max="8482" width="13.5703125" style="201" customWidth="1"/>
    <col min="8483" max="8483" width="12" style="201" customWidth="1"/>
    <col min="8484" max="8484" width="9.28515625" style="201" customWidth="1"/>
    <col min="8485" max="8485" width="15.28515625" style="201" customWidth="1"/>
    <col min="8486" max="8486" width="9.7109375" style="201" customWidth="1"/>
    <col min="8487" max="8487" width="2.5703125" style="201" customWidth="1"/>
    <col min="8488" max="8488" width="23.85546875" style="201" customWidth="1"/>
    <col min="8489" max="8702" width="9.140625" style="201"/>
    <col min="8703" max="8703" width="6.28515625" style="201" customWidth="1"/>
    <col min="8704" max="8704" width="35.5703125" style="201" customWidth="1"/>
    <col min="8705" max="8707" width="0" style="201" hidden="1" customWidth="1"/>
    <col min="8708" max="8708" width="17.28515625" style="201" customWidth="1"/>
    <col min="8709" max="8709" width="11.28515625" style="201" customWidth="1"/>
    <col min="8710" max="8710" width="9.5703125" style="201" customWidth="1"/>
    <col min="8711" max="8716" width="0" style="201" hidden="1" customWidth="1"/>
    <col min="8717" max="8717" width="11.28515625" style="201" customWidth="1"/>
    <col min="8718" max="8718" width="11.140625" style="201" customWidth="1"/>
    <col min="8719" max="8719" width="8.140625" style="201" customWidth="1"/>
    <col min="8720" max="8720" width="9.28515625" style="201" customWidth="1"/>
    <col min="8721" max="8721" width="9" style="201" customWidth="1"/>
    <col min="8722" max="8722" width="9.28515625" style="201" customWidth="1"/>
    <col min="8723" max="8724" width="0" style="201" hidden="1" customWidth="1"/>
    <col min="8725" max="8725" width="9.140625" style="201" customWidth="1"/>
    <col min="8726" max="8726" width="10.140625" style="201" customWidth="1"/>
    <col min="8727" max="8727" width="9.140625" style="201" customWidth="1"/>
    <col min="8728" max="8734" width="9.5703125" style="201" customWidth="1"/>
    <col min="8735" max="8735" width="19.28515625" style="201" customWidth="1"/>
    <col min="8736" max="8736" width="22.140625" style="201" customWidth="1"/>
    <col min="8737" max="8737" width="16.7109375" style="201" customWidth="1"/>
    <col min="8738" max="8738" width="13.5703125" style="201" customWidth="1"/>
    <col min="8739" max="8739" width="12" style="201" customWidth="1"/>
    <col min="8740" max="8740" width="9.28515625" style="201" customWidth="1"/>
    <col min="8741" max="8741" width="15.28515625" style="201" customWidth="1"/>
    <col min="8742" max="8742" width="9.7109375" style="201" customWidth="1"/>
    <col min="8743" max="8743" width="2.5703125" style="201" customWidth="1"/>
    <col min="8744" max="8744" width="23.85546875" style="201" customWidth="1"/>
    <col min="8745" max="8958" width="9.140625" style="201"/>
    <col min="8959" max="8959" width="6.28515625" style="201" customWidth="1"/>
    <col min="8960" max="8960" width="35.5703125" style="201" customWidth="1"/>
    <col min="8961" max="8963" width="0" style="201" hidden="1" customWidth="1"/>
    <col min="8964" max="8964" width="17.28515625" style="201" customWidth="1"/>
    <col min="8965" max="8965" width="11.28515625" style="201" customWidth="1"/>
    <col min="8966" max="8966" width="9.5703125" style="201" customWidth="1"/>
    <col min="8967" max="8972" width="0" style="201" hidden="1" customWidth="1"/>
    <col min="8973" max="8973" width="11.28515625" style="201" customWidth="1"/>
    <col min="8974" max="8974" width="11.140625" style="201" customWidth="1"/>
    <col min="8975" max="8975" width="8.140625" style="201" customWidth="1"/>
    <col min="8976" max="8976" width="9.28515625" style="201" customWidth="1"/>
    <col min="8977" max="8977" width="9" style="201" customWidth="1"/>
    <col min="8978" max="8978" width="9.28515625" style="201" customWidth="1"/>
    <col min="8979" max="8980" width="0" style="201" hidden="1" customWidth="1"/>
    <col min="8981" max="8981" width="9.140625" style="201" customWidth="1"/>
    <col min="8982" max="8982" width="10.140625" style="201" customWidth="1"/>
    <col min="8983" max="8983" width="9.140625" style="201" customWidth="1"/>
    <col min="8984" max="8990" width="9.5703125" style="201" customWidth="1"/>
    <col min="8991" max="8991" width="19.28515625" style="201" customWidth="1"/>
    <col min="8992" max="8992" width="22.140625" style="201" customWidth="1"/>
    <col min="8993" max="8993" width="16.7109375" style="201" customWidth="1"/>
    <col min="8994" max="8994" width="13.5703125" style="201" customWidth="1"/>
    <col min="8995" max="8995" width="12" style="201" customWidth="1"/>
    <col min="8996" max="8996" width="9.28515625" style="201" customWidth="1"/>
    <col min="8997" max="8997" width="15.28515625" style="201" customWidth="1"/>
    <col min="8998" max="8998" width="9.7109375" style="201" customWidth="1"/>
    <col min="8999" max="8999" width="2.5703125" style="201" customWidth="1"/>
    <col min="9000" max="9000" width="23.85546875" style="201" customWidth="1"/>
    <col min="9001" max="9214" width="9.140625" style="201"/>
    <col min="9215" max="9215" width="6.28515625" style="201" customWidth="1"/>
    <col min="9216" max="9216" width="35.5703125" style="201" customWidth="1"/>
    <col min="9217" max="9219" width="0" style="201" hidden="1" customWidth="1"/>
    <col min="9220" max="9220" width="17.28515625" style="201" customWidth="1"/>
    <col min="9221" max="9221" width="11.28515625" style="201" customWidth="1"/>
    <col min="9222" max="9222" width="9.5703125" style="201" customWidth="1"/>
    <col min="9223" max="9228" width="0" style="201" hidden="1" customWidth="1"/>
    <col min="9229" max="9229" width="11.28515625" style="201" customWidth="1"/>
    <col min="9230" max="9230" width="11.140625" style="201" customWidth="1"/>
    <col min="9231" max="9231" width="8.140625" style="201" customWidth="1"/>
    <col min="9232" max="9232" width="9.28515625" style="201" customWidth="1"/>
    <col min="9233" max="9233" width="9" style="201" customWidth="1"/>
    <col min="9234" max="9234" width="9.28515625" style="201" customWidth="1"/>
    <col min="9235" max="9236" width="0" style="201" hidden="1" customWidth="1"/>
    <col min="9237" max="9237" width="9.140625" style="201" customWidth="1"/>
    <col min="9238" max="9238" width="10.140625" style="201" customWidth="1"/>
    <col min="9239" max="9239" width="9.140625" style="201" customWidth="1"/>
    <col min="9240" max="9246" width="9.5703125" style="201" customWidth="1"/>
    <col min="9247" max="9247" width="19.28515625" style="201" customWidth="1"/>
    <col min="9248" max="9248" width="22.140625" style="201" customWidth="1"/>
    <col min="9249" max="9249" width="16.7109375" style="201" customWidth="1"/>
    <col min="9250" max="9250" width="13.5703125" style="201" customWidth="1"/>
    <col min="9251" max="9251" width="12" style="201" customWidth="1"/>
    <col min="9252" max="9252" width="9.28515625" style="201" customWidth="1"/>
    <col min="9253" max="9253" width="15.28515625" style="201" customWidth="1"/>
    <col min="9254" max="9254" width="9.7109375" style="201" customWidth="1"/>
    <col min="9255" max="9255" width="2.5703125" style="201" customWidth="1"/>
    <col min="9256" max="9256" width="23.85546875" style="201" customWidth="1"/>
    <col min="9257" max="9470" width="9.140625" style="201"/>
    <col min="9471" max="9471" width="6.28515625" style="201" customWidth="1"/>
    <col min="9472" max="9472" width="35.5703125" style="201" customWidth="1"/>
    <col min="9473" max="9475" width="0" style="201" hidden="1" customWidth="1"/>
    <col min="9476" max="9476" width="17.28515625" style="201" customWidth="1"/>
    <col min="9477" max="9477" width="11.28515625" style="201" customWidth="1"/>
    <col min="9478" max="9478" width="9.5703125" style="201" customWidth="1"/>
    <col min="9479" max="9484" width="0" style="201" hidden="1" customWidth="1"/>
    <col min="9485" max="9485" width="11.28515625" style="201" customWidth="1"/>
    <col min="9486" max="9486" width="11.140625" style="201" customWidth="1"/>
    <col min="9487" max="9487" width="8.140625" style="201" customWidth="1"/>
    <col min="9488" max="9488" width="9.28515625" style="201" customWidth="1"/>
    <col min="9489" max="9489" width="9" style="201" customWidth="1"/>
    <col min="9490" max="9490" width="9.28515625" style="201" customWidth="1"/>
    <col min="9491" max="9492" width="0" style="201" hidden="1" customWidth="1"/>
    <col min="9493" max="9493" width="9.140625" style="201" customWidth="1"/>
    <col min="9494" max="9494" width="10.140625" style="201" customWidth="1"/>
    <col min="9495" max="9495" width="9.140625" style="201" customWidth="1"/>
    <col min="9496" max="9502" width="9.5703125" style="201" customWidth="1"/>
    <col min="9503" max="9503" width="19.28515625" style="201" customWidth="1"/>
    <col min="9504" max="9504" width="22.140625" style="201" customWidth="1"/>
    <col min="9505" max="9505" width="16.7109375" style="201" customWidth="1"/>
    <col min="9506" max="9506" width="13.5703125" style="201" customWidth="1"/>
    <col min="9507" max="9507" width="12" style="201" customWidth="1"/>
    <col min="9508" max="9508" width="9.28515625" style="201" customWidth="1"/>
    <col min="9509" max="9509" width="15.28515625" style="201" customWidth="1"/>
    <col min="9510" max="9510" width="9.7109375" style="201" customWidth="1"/>
    <col min="9511" max="9511" width="2.5703125" style="201" customWidth="1"/>
    <col min="9512" max="9512" width="23.85546875" style="201" customWidth="1"/>
    <col min="9513" max="9726" width="9.140625" style="201"/>
    <col min="9727" max="9727" width="6.28515625" style="201" customWidth="1"/>
    <col min="9728" max="9728" width="35.5703125" style="201" customWidth="1"/>
    <col min="9729" max="9731" width="0" style="201" hidden="1" customWidth="1"/>
    <col min="9732" max="9732" width="17.28515625" style="201" customWidth="1"/>
    <col min="9733" max="9733" width="11.28515625" style="201" customWidth="1"/>
    <col min="9734" max="9734" width="9.5703125" style="201" customWidth="1"/>
    <col min="9735" max="9740" width="0" style="201" hidden="1" customWidth="1"/>
    <col min="9741" max="9741" width="11.28515625" style="201" customWidth="1"/>
    <col min="9742" max="9742" width="11.140625" style="201" customWidth="1"/>
    <col min="9743" max="9743" width="8.140625" style="201" customWidth="1"/>
    <col min="9744" max="9744" width="9.28515625" style="201" customWidth="1"/>
    <col min="9745" max="9745" width="9" style="201" customWidth="1"/>
    <col min="9746" max="9746" width="9.28515625" style="201" customWidth="1"/>
    <col min="9747" max="9748" width="0" style="201" hidden="1" customWidth="1"/>
    <col min="9749" max="9749" width="9.140625" style="201" customWidth="1"/>
    <col min="9750" max="9750" width="10.140625" style="201" customWidth="1"/>
    <col min="9751" max="9751" width="9.140625" style="201" customWidth="1"/>
    <col min="9752" max="9758" width="9.5703125" style="201" customWidth="1"/>
    <col min="9759" max="9759" width="19.28515625" style="201" customWidth="1"/>
    <col min="9760" max="9760" width="22.140625" style="201" customWidth="1"/>
    <col min="9761" max="9761" width="16.7109375" style="201" customWidth="1"/>
    <col min="9762" max="9762" width="13.5703125" style="201" customWidth="1"/>
    <col min="9763" max="9763" width="12" style="201" customWidth="1"/>
    <col min="9764" max="9764" width="9.28515625" style="201" customWidth="1"/>
    <col min="9765" max="9765" width="15.28515625" style="201" customWidth="1"/>
    <col min="9766" max="9766" width="9.7109375" style="201" customWidth="1"/>
    <col min="9767" max="9767" width="2.5703125" style="201" customWidth="1"/>
    <col min="9768" max="9768" width="23.85546875" style="201" customWidth="1"/>
    <col min="9769" max="9982" width="9.140625" style="201"/>
    <col min="9983" max="9983" width="6.28515625" style="201" customWidth="1"/>
    <col min="9984" max="9984" width="35.5703125" style="201" customWidth="1"/>
    <col min="9985" max="9987" width="0" style="201" hidden="1" customWidth="1"/>
    <col min="9988" max="9988" width="17.28515625" style="201" customWidth="1"/>
    <col min="9989" max="9989" width="11.28515625" style="201" customWidth="1"/>
    <col min="9990" max="9990" width="9.5703125" style="201" customWidth="1"/>
    <col min="9991" max="9996" width="0" style="201" hidden="1" customWidth="1"/>
    <col min="9997" max="9997" width="11.28515625" style="201" customWidth="1"/>
    <col min="9998" max="9998" width="11.140625" style="201" customWidth="1"/>
    <col min="9999" max="9999" width="8.140625" style="201" customWidth="1"/>
    <col min="10000" max="10000" width="9.28515625" style="201" customWidth="1"/>
    <col min="10001" max="10001" width="9" style="201" customWidth="1"/>
    <col min="10002" max="10002" width="9.28515625" style="201" customWidth="1"/>
    <col min="10003" max="10004" width="0" style="201" hidden="1" customWidth="1"/>
    <col min="10005" max="10005" width="9.140625" style="201" customWidth="1"/>
    <col min="10006" max="10006" width="10.140625" style="201" customWidth="1"/>
    <col min="10007" max="10007" width="9.140625" style="201" customWidth="1"/>
    <col min="10008" max="10014" width="9.5703125" style="201" customWidth="1"/>
    <col min="10015" max="10015" width="19.28515625" style="201" customWidth="1"/>
    <col min="10016" max="10016" width="22.140625" style="201" customWidth="1"/>
    <col min="10017" max="10017" width="16.7109375" style="201" customWidth="1"/>
    <col min="10018" max="10018" width="13.5703125" style="201" customWidth="1"/>
    <col min="10019" max="10019" width="12" style="201" customWidth="1"/>
    <col min="10020" max="10020" width="9.28515625" style="201" customWidth="1"/>
    <col min="10021" max="10021" width="15.28515625" style="201" customWidth="1"/>
    <col min="10022" max="10022" width="9.7109375" style="201" customWidth="1"/>
    <col min="10023" max="10023" width="2.5703125" style="201" customWidth="1"/>
    <col min="10024" max="10024" width="23.85546875" style="201" customWidth="1"/>
    <col min="10025" max="10238" width="9.140625" style="201"/>
    <col min="10239" max="10239" width="6.28515625" style="201" customWidth="1"/>
    <col min="10240" max="10240" width="35.5703125" style="201" customWidth="1"/>
    <col min="10241" max="10243" width="0" style="201" hidden="1" customWidth="1"/>
    <col min="10244" max="10244" width="17.28515625" style="201" customWidth="1"/>
    <col min="10245" max="10245" width="11.28515625" style="201" customWidth="1"/>
    <col min="10246" max="10246" width="9.5703125" style="201" customWidth="1"/>
    <col min="10247" max="10252" width="0" style="201" hidden="1" customWidth="1"/>
    <col min="10253" max="10253" width="11.28515625" style="201" customWidth="1"/>
    <col min="10254" max="10254" width="11.140625" style="201" customWidth="1"/>
    <col min="10255" max="10255" width="8.140625" style="201" customWidth="1"/>
    <col min="10256" max="10256" width="9.28515625" style="201" customWidth="1"/>
    <col min="10257" max="10257" width="9" style="201" customWidth="1"/>
    <col min="10258" max="10258" width="9.28515625" style="201" customWidth="1"/>
    <col min="10259" max="10260" width="0" style="201" hidden="1" customWidth="1"/>
    <col min="10261" max="10261" width="9.140625" style="201" customWidth="1"/>
    <col min="10262" max="10262" width="10.140625" style="201" customWidth="1"/>
    <col min="10263" max="10263" width="9.140625" style="201" customWidth="1"/>
    <col min="10264" max="10270" width="9.5703125" style="201" customWidth="1"/>
    <col min="10271" max="10271" width="19.28515625" style="201" customWidth="1"/>
    <col min="10272" max="10272" width="22.140625" style="201" customWidth="1"/>
    <col min="10273" max="10273" width="16.7109375" style="201" customWidth="1"/>
    <col min="10274" max="10274" width="13.5703125" style="201" customWidth="1"/>
    <col min="10275" max="10275" width="12" style="201" customWidth="1"/>
    <col min="10276" max="10276" width="9.28515625" style="201" customWidth="1"/>
    <col min="10277" max="10277" width="15.28515625" style="201" customWidth="1"/>
    <col min="10278" max="10278" width="9.7109375" style="201" customWidth="1"/>
    <col min="10279" max="10279" width="2.5703125" style="201" customWidth="1"/>
    <col min="10280" max="10280" width="23.85546875" style="201" customWidth="1"/>
    <col min="10281" max="10494" width="9.140625" style="201"/>
    <col min="10495" max="10495" width="6.28515625" style="201" customWidth="1"/>
    <col min="10496" max="10496" width="35.5703125" style="201" customWidth="1"/>
    <col min="10497" max="10499" width="0" style="201" hidden="1" customWidth="1"/>
    <col min="10500" max="10500" width="17.28515625" style="201" customWidth="1"/>
    <col min="10501" max="10501" width="11.28515625" style="201" customWidth="1"/>
    <col min="10502" max="10502" width="9.5703125" style="201" customWidth="1"/>
    <col min="10503" max="10508" width="0" style="201" hidden="1" customWidth="1"/>
    <col min="10509" max="10509" width="11.28515625" style="201" customWidth="1"/>
    <col min="10510" max="10510" width="11.140625" style="201" customWidth="1"/>
    <col min="10511" max="10511" width="8.140625" style="201" customWidth="1"/>
    <col min="10512" max="10512" width="9.28515625" style="201" customWidth="1"/>
    <col min="10513" max="10513" width="9" style="201" customWidth="1"/>
    <col min="10514" max="10514" width="9.28515625" style="201" customWidth="1"/>
    <col min="10515" max="10516" width="0" style="201" hidden="1" customWidth="1"/>
    <col min="10517" max="10517" width="9.140625" style="201" customWidth="1"/>
    <col min="10518" max="10518" width="10.140625" style="201" customWidth="1"/>
    <col min="10519" max="10519" width="9.140625" style="201" customWidth="1"/>
    <col min="10520" max="10526" width="9.5703125" style="201" customWidth="1"/>
    <col min="10527" max="10527" width="19.28515625" style="201" customWidth="1"/>
    <col min="10528" max="10528" width="22.140625" style="201" customWidth="1"/>
    <col min="10529" max="10529" width="16.7109375" style="201" customWidth="1"/>
    <col min="10530" max="10530" width="13.5703125" style="201" customWidth="1"/>
    <col min="10531" max="10531" width="12" style="201" customWidth="1"/>
    <col min="10532" max="10532" width="9.28515625" style="201" customWidth="1"/>
    <col min="10533" max="10533" width="15.28515625" style="201" customWidth="1"/>
    <col min="10534" max="10534" width="9.7109375" style="201" customWidth="1"/>
    <col min="10535" max="10535" width="2.5703125" style="201" customWidth="1"/>
    <col min="10536" max="10536" width="23.85546875" style="201" customWidth="1"/>
    <col min="10537" max="10750" width="9.140625" style="201"/>
    <col min="10751" max="10751" width="6.28515625" style="201" customWidth="1"/>
    <col min="10752" max="10752" width="35.5703125" style="201" customWidth="1"/>
    <col min="10753" max="10755" width="0" style="201" hidden="1" customWidth="1"/>
    <col min="10756" max="10756" width="17.28515625" style="201" customWidth="1"/>
    <col min="10757" max="10757" width="11.28515625" style="201" customWidth="1"/>
    <col min="10758" max="10758" width="9.5703125" style="201" customWidth="1"/>
    <col min="10759" max="10764" width="0" style="201" hidden="1" customWidth="1"/>
    <col min="10765" max="10765" width="11.28515625" style="201" customWidth="1"/>
    <col min="10766" max="10766" width="11.140625" style="201" customWidth="1"/>
    <col min="10767" max="10767" width="8.140625" style="201" customWidth="1"/>
    <col min="10768" max="10768" width="9.28515625" style="201" customWidth="1"/>
    <col min="10769" max="10769" width="9" style="201" customWidth="1"/>
    <col min="10770" max="10770" width="9.28515625" style="201" customWidth="1"/>
    <col min="10771" max="10772" width="0" style="201" hidden="1" customWidth="1"/>
    <col min="10773" max="10773" width="9.140625" style="201" customWidth="1"/>
    <col min="10774" max="10774" width="10.140625" style="201" customWidth="1"/>
    <col min="10775" max="10775" width="9.140625" style="201" customWidth="1"/>
    <col min="10776" max="10782" width="9.5703125" style="201" customWidth="1"/>
    <col min="10783" max="10783" width="19.28515625" style="201" customWidth="1"/>
    <col min="10784" max="10784" width="22.140625" style="201" customWidth="1"/>
    <col min="10785" max="10785" width="16.7109375" style="201" customWidth="1"/>
    <col min="10786" max="10786" width="13.5703125" style="201" customWidth="1"/>
    <col min="10787" max="10787" width="12" style="201" customWidth="1"/>
    <col min="10788" max="10788" width="9.28515625" style="201" customWidth="1"/>
    <col min="10789" max="10789" width="15.28515625" style="201" customWidth="1"/>
    <col min="10790" max="10790" width="9.7109375" style="201" customWidth="1"/>
    <col min="10791" max="10791" width="2.5703125" style="201" customWidth="1"/>
    <col min="10792" max="10792" width="23.85546875" style="201" customWidth="1"/>
    <col min="10793" max="11006" width="9.140625" style="201"/>
    <col min="11007" max="11007" width="6.28515625" style="201" customWidth="1"/>
    <col min="11008" max="11008" width="35.5703125" style="201" customWidth="1"/>
    <col min="11009" max="11011" width="0" style="201" hidden="1" customWidth="1"/>
    <col min="11012" max="11012" width="17.28515625" style="201" customWidth="1"/>
    <col min="11013" max="11013" width="11.28515625" style="201" customWidth="1"/>
    <col min="11014" max="11014" width="9.5703125" style="201" customWidth="1"/>
    <col min="11015" max="11020" width="0" style="201" hidden="1" customWidth="1"/>
    <col min="11021" max="11021" width="11.28515625" style="201" customWidth="1"/>
    <col min="11022" max="11022" width="11.140625" style="201" customWidth="1"/>
    <col min="11023" max="11023" width="8.140625" style="201" customWidth="1"/>
    <col min="11024" max="11024" width="9.28515625" style="201" customWidth="1"/>
    <col min="11025" max="11025" width="9" style="201" customWidth="1"/>
    <col min="11026" max="11026" width="9.28515625" style="201" customWidth="1"/>
    <col min="11027" max="11028" width="0" style="201" hidden="1" customWidth="1"/>
    <col min="11029" max="11029" width="9.140625" style="201" customWidth="1"/>
    <col min="11030" max="11030" width="10.140625" style="201" customWidth="1"/>
    <col min="11031" max="11031" width="9.140625" style="201" customWidth="1"/>
    <col min="11032" max="11038" width="9.5703125" style="201" customWidth="1"/>
    <col min="11039" max="11039" width="19.28515625" style="201" customWidth="1"/>
    <col min="11040" max="11040" width="22.140625" style="201" customWidth="1"/>
    <col min="11041" max="11041" width="16.7109375" style="201" customWidth="1"/>
    <col min="11042" max="11042" width="13.5703125" style="201" customWidth="1"/>
    <col min="11043" max="11043" width="12" style="201" customWidth="1"/>
    <col min="11044" max="11044" width="9.28515625" style="201" customWidth="1"/>
    <col min="11045" max="11045" width="15.28515625" style="201" customWidth="1"/>
    <col min="11046" max="11046" width="9.7109375" style="201" customWidth="1"/>
    <col min="11047" max="11047" width="2.5703125" style="201" customWidth="1"/>
    <col min="11048" max="11048" width="23.85546875" style="201" customWidth="1"/>
    <col min="11049" max="11262" width="9.140625" style="201"/>
    <col min="11263" max="11263" width="6.28515625" style="201" customWidth="1"/>
    <col min="11264" max="11264" width="35.5703125" style="201" customWidth="1"/>
    <col min="11265" max="11267" width="0" style="201" hidden="1" customWidth="1"/>
    <col min="11268" max="11268" width="17.28515625" style="201" customWidth="1"/>
    <col min="11269" max="11269" width="11.28515625" style="201" customWidth="1"/>
    <col min="11270" max="11270" width="9.5703125" style="201" customWidth="1"/>
    <col min="11271" max="11276" width="0" style="201" hidden="1" customWidth="1"/>
    <col min="11277" max="11277" width="11.28515625" style="201" customWidth="1"/>
    <col min="11278" max="11278" width="11.140625" style="201" customWidth="1"/>
    <col min="11279" max="11279" width="8.140625" style="201" customWidth="1"/>
    <col min="11280" max="11280" width="9.28515625" style="201" customWidth="1"/>
    <col min="11281" max="11281" width="9" style="201" customWidth="1"/>
    <col min="11282" max="11282" width="9.28515625" style="201" customWidth="1"/>
    <col min="11283" max="11284" width="0" style="201" hidden="1" customWidth="1"/>
    <col min="11285" max="11285" width="9.140625" style="201" customWidth="1"/>
    <col min="11286" max="11286" width="10.140625" style="201" customWidth="1"/>
    <col min="11287" max="11287" width="9.140625" style="201" customWidth="1"/>
    <col min="11288" max="11294" width="9.5703125" style="201" customWidth="1"/>
    <col min="11295" max="11295" width="19.28515625" style="201" customWidth="1"/>
    <col min="11296" max="11296" width="22.140625" style="201" customWidth="1"/>
    <col min="11297" max="11297" width="16.7109375" style="201" customWidth="1"/>
    <col min="11298" max="11298" width="13.5703125" style="201" customWidth="1"/>
    <col min="11299" max="11299" width="12" style="201" customWidth="1"/>
    <col min="11300" max="11300" width="9.28515625" style="201" customWidth="1"/>
    <col min="11301" max="11301" width="15.28515625" style="201" customWidth="1"/>
    <col min="11302" max="11302" width="9.7109375" style="201" customWidth="1"/>
    <col min="11303" max="11303" width="2.5703125" style="201" customWidth="1"/>
    <col min="11304" max="11304" width="23.85546875" style="201" customWidth="1"/>
    <col min="11305" max="11518" width="9.140625" style="201"/>
    <col min="11519" max="11519" width="6.28515625" style="201" customWidth="1"/>
    <col min="11520" max="11520" width="35.5703125" style="201" customWidth="1"/>
    <col min="11521" max="11523" width="0" style="201" hidden="1" customWidth="1"/>
    <col min="11524" max="11524" width="17.28515625" style="201" customWidth="1"/>
    <col min="11525" max="11525" width="11.28515625" style="201" customWidth="1"/>
    <col min="11526" max="11526" width="9.5703125" style="201" customWidth="1"/>
    <col min="11527" max="11532" width="0" style="201" hidden="1" customWidth="1"/>
    <col min="11533" max="11533" width="11.28515625" style="201" customWidth="1"/>
    <col min="11534" max="11534" width="11.140625" style="201" customWidth="1"/>
    <col min="11535" max="11535" width="8.140625" style="201" customWidth="1"/>
    <col min="11536" max="11536" width="9.28515625" style="201" customWidth="1"/>
    <col min="11537" max="11537" width="9" style="201" customWidth="1"/>
    <col min="11538" max="11538" width="9.28515625" style="201" customWidth="1"/>
    <col min="11539" max="11540" width="0" style="201" hidden="1" customWidth="1"/>
    <col min="11541" max="11541" width="9.140625" style="201" customWidth="1"/>
    <col min="11542" max="11542" width="10.140625" style="201" customWidth="1"/>
    <col min="11543" max="11543" width="9.140625" style="201" customWidth="1"/>
    <col min="11544" max="11550" width="9.5703125" style="201" customWidth="1"/>
    <col min="11551" max="11551" width="19.28515625" style="201" customWidth="1"/>
    <col min="11552" max="11552" width="22.140625" style="201" customWidth="1"/>
    <col min="11553" max="11553" width="16.7109375" style="201" customWidth="1"/>
    <col min="11554" max="11554" width="13.5703125" style="201" customWidth="1"/>
    <col min="11555" max="11555" width="12" style="201" customWidth="1"/>
    <col min="11556" max="11556" width="9.28515625" style="201" customWidth="1"/>
    <col min="11557" max="11557" width="15.28515625" style="201" customWidth="1"/>
    <col min="11558" max="11558" width="9.7109375" style="201" customWidth="1"/>
    <col min="11559" max="11559" width="2.5703125" style="201" customWidth="1"/>
    <col min="11560" max="11560" width="23.85546875" style="201" customWidth="1"/>
    <col min="11561" max="11774" width="9.140625" style="201"/>
    <col min="11775" max="11775" width="6.28515625" style="201" customWidth="1"/>
    <col min="11776" max="11776" width="35.5703125" style="201" customWidth="1"/>
    <col min="11777" max="11779" width="0" style="201" hidden="1" customWidth="1"/>
    <col min="11780" max="11780" width="17.28515625" style="201" customWidth="1"/>
    <col min="11781" max="11781" width="11.28515625" style="201" customWidth="1"/>
    <col min="11782" max="11782" width="9.5703125" style="201" customWidth="1"/>
    <col min="11783" max="11788" width="0" style="201" hidden="1" customWidth="1"/>
    <col min="11789" max="11789" width="11.28515625" style="201" customWidth="1"/>
    <col min="11790" max="11790" width="11.140625" style="201" customWidth="1"/>
    <col min="11791" max="11791" width="8.140625" style="201" customWidth="1"/>
    <col min="11792" max="11792" width="9.28515625" style="201" customWidth="1"/>
    <col min="11793" max="11793" width="9" style="201" customWidth="1"/>
    <col min="11794" max="11794" width="9.28515625" style="201" customWidth="1"/>
    <col min="11795" max="11796" width="0" style="201" hidden="1" customWidth="1"/>
    <col min="11797" max="11797" width="9.140625" style="201" customWidth="1"/>
    <col min="11798" max="11798" width="10.140625" style="201" customWidth="1"/>
    <col min="11799" max="11799" width="9.140625" style="201" customWidth="1"/>
    <col min="11800" max="11806" width="9.5703125" style="201" customWidth="1"/>
    <col min="11807" max="11807" width="19.28515625" style="201" customWidth="1"/>
    <col min="11808" max="11808" width="22.140625" style="201" customWidth="1"/>
    <col min="11809" max="11809" width="16.7109375" style="201" customWidth="1"/>
    <col min="11810" max="11810" width="13.5703125" style="201" customWidth="1"/>
    <col min="11811" max="11811" width="12" style="201" customWidth="1"/>
    <col min="11812" max="11812" width="9.28515625" style="201" customWidth="1"/>
    <col min="11813" max="11813" width="15.28515625" style="201" customWidth="1"/>
    <col min="11814" max="11814" width="9.7109375" style="201" customWidth="1"/>
    <col min="11815" max="11815" width="2.5703125" style="201" customWidth="1"/>
    <col min="11816" max="11816" width="23.85546875" style="201" customWidth="1"/>
    <col min="11817" max="12030" width="9.140625" style="201"/>
    <col min="12031" max="12031" width="6.28515625" style="201" customWidth="1"/>
    <col min="12032" max="12032" width="35.5703125" style="201" customWidth="1"/>
    <col min="12033" max="12035" width="0" style="201" hidden="1" customWidth="1"/>
    <col min="12036" max="12036" width="17.28515625" style="201" customWidth="1"/>
    <col min="12037" max="12037" width="11.28515625" style="201" customWidth="1"/>
    <col min="12038" max="12038" width="9.5703125" style="201" customWidth="1"/>
    <col min="12039" max="12044" width="0" style="201" hidden="1" customWidth="1"/>
    <col min="12045" max="12045" width="11.28515625" style="201" customWidth="1"/>
    <col min="12046" max="12046" width="11.140625" style="201" customWidth="1"/>
    <col min="12047" max="12047" width="8.140625" style="201" customWidth="1"/>
    <col min="12048" max="12048" width="9.28515625" style="201" customWidth="1"/>
    <col min="12049" max="12049" width="9" style="201" customWidth="1"/>
    <col min="12050" max="12050" width="9.28515625" style="201" customWidth="1"/>
    <col min="12051" max="12052" width="0" style="201" hidden="1" customWidth="1"/>
    <col min="12053" max="12053" width="9.140625" style="201" customWidth="1"/>
    <col min="12054" max="12054" width="10.140625" style="201" customWidth="1"/>
    <col min="12055" max="12055" width="9.140625" style="201" customWidth="1"/>
    <col min="12056" max="12062" width="9.5703125" style="201" customWidth="1"/>
    <col min="12063" max="12063" width="19.28515625" style="201" customWidth="1"/>
    <col min="12064" max="12064" width="22.140625" style="201" customWidth="1"/>
    <col min="12065" max="12065" width="16.7109375" style="201" customWidth="1"/>
    <col min="12066" max="12066" width="13.5703125" style="201" customWidth="1"/>
    <col min="12067" max="12067" width="12" style="201" customWidth="1"/>
    <col min="12068" max="12068" width="9.28515625" style="201" customWidth="1"/>
    <col min="12069" max="12069" width="15.28515625" style="201" customWidth="1"/>
    <col min="12070" max="12070" width="9.7109375" style="201" customWidth="1"/>
    <col min="12071" max="12071" width="2.5703125" style="201" customWidth="1"/>
    <col min="12072" max="12072" width="23.85546875" style="201" customWidth="1"/>
    <col min="12073" max="12286" width="9.140625" style="201"/>
    <col min="12287" max="12287" width="6.28515625" style="201" customWidth="1"/>
    <col min="12288" max="12288" width="35.5703125" style="201" customWidth="1"/>
    <col min="12289" max="12291" width="0" style="201" hidden="1" customWidth="1"/>
    <col min="12292" max="12292" width="17.28515625" style="201" customWidth="1"/>
    <col min="12293" max="12293" width="11.28515625" style="201" customWidth="1"/>
    <col min="12294" max="12294" width="9.5703125" style="201" customWidth="1"/>
    <col min="12295" max="12300" width="0" style="201" hidden="1" customWidth="1"/>
    <col min="12301" max="12301" width="11.28515625" style="201" customWidth="1"/>
    <col min="12302" max="12302" width="11.140625" style="201" customWidth="1"/>
    <col min="12303" max="12303" width="8.140625" style="201" customWidth="1"/>
    <col min="12304" max="12304" width="9.28515625" style="201" customWidth="1"/>
    <col min="12305" max="12305" width="9" style="201" customWidth="1"/>
    <col min="12306" max="12306" width="9.28515625" style="201" customWidth="1"/>
    <col min="12307" max="12308" width="0" style="201" hidden="1" customWidth="1"/>
    <col min="12309" max="12309" width="9.140625" style="201" customWidth="1"/>
    <col min="12310" max="12310" width="10.140625" style="201" customWidth="1"/>
    <col min="12311" max="12311" width="9.140625" style="201" customWidth="1"/>
    <col min="12312" max="12318" width="9.5703125" style="201" customWidth="1"/>
    <col min="12319" max="12319" width="19.28515625" style="201" customWidth="1"/>
    <col min="12320" max="12320" width="22.140625" style="201" customWidth="1"/>
    <col min="12321" max="12321" width="16.7109375" style="201" customWidth="1"/>
    <col min="12322" max="12322" width="13.5703125" style="201" customWidth="1"/>
    <col min="12323" max="12323" width="12" style="201" customWidth="1"/>
    <col min="12324" max="12324" width="9.28515625" style="201" customWidth="1"/>
    <col min="12325" max="12325" width="15.28515625" style="201" customWidth="1"/>
    <col min="12326" max="12326" width="9.7109375" style="201" customWidth="1"/>
    <col min="12327" max="12327" width="2.5703125" style="201" customWidth="1"/>
    <col min="12328" max="12328" width="23.85546875" style="201" customWidth="1"/>
    <col min="12329" max="12542" width="9.140625" style="201"/>
    <col min="12543" max="12543" width="6.28515625" style="201" customWidth="1"/>
    <col min="12544" max="12544" width="35.5703125" style="201" customWidth="1"/>
    <col min="12545" max="12547" width="0" style="201" hidden="1" customWidth="1"/>
    <col min="12548" max="12548" width="17.28515625" style="201" customWidth="1"/>
    <col min="12549" max="12549" width="11.28515625" style="201" customWidth="1"/>
    <col min="12550" max="12550" width="9.5703125" style="201" customWidth="1"/>
    <col min="12551" max="12556" width="0" style="201" hidden="1" customWidth="1"/>
    <col min="12557" max="12557" width="11.28515625" style="201" customWidth="1"/>
    <col min="12558" max="12558" width="11.140625" style="201" customWidth="1"/>
    <col min="12559" max="12559" width="8.140625" style="201" customWidth="1"/>
    <col min="12560" max="12560" width="9.28515625" style="201" customWidth="1"/>
    <col min="12561" max="12561" width="9" style="201" customWidth="1"/>
    <col min="12562" max="12562" width="9.28515625" style="201" customWidth="1"/>
    <col min="12563" max="12564" width="0" style="201" hidden="1" customWidth="1"/>
    <col min="12565" max="12565" width="9.140625" style="201" customWidth="1"/>
    <col min="12566" max="12566" width="10.140625" style="201" customWidth="1"/>
    <col min="12567" max="12567" width="9.140625" style="201" customWidth="1"/>
    <col min="12568" max="12574" width="9.5703125" style="201" customWidth="1"/>
    <col min="12575" max="12575" width="19.28515625" style="201" customWidth="1"/>
    <col min="12576" max="12576" width="22.140625" style="201" customWidth="1"/>
    <col min="12577" max="12577" width="16.7109375" style="201" customWidth="1"/>
    <col min="12578" max="12578" width="13.5703125" style="201" customWidth="1"/>
    <col min="12579" max="12579" width="12" style="201" customWidth="1"/>
    <col min="12580" max="12580" width="9.28515625" style="201" customWidth="1"/>
    <col min="12581" max="12581" width="15.28515625" style="201" customWidth="1"/>
    <col min="12582" max="12582" width="9.7109375" style="201" customWidth="1"/>
    <col min="12583" max="12583" width="2.5703125" style="201" customWidth="1"/>
    <col min="12584" max="12584" width="23.85546875" style="201" customWidth="1"/>
    <col min="12585" max="12798" width="9.140625" style="201"/>
    <col min="12799" max="12799" width="6.28515625" style="201" customWidth="1"/>
    <col min="12800" max="12800" width="35.5703125" style="201" customWidth="1"/>
    <col min="12801" max="12803" width="0" style="201" hidden="1" customWidth="1"/>
    <col min="12804" max="12804" width="17.28515625" style="201" customWidth="1"/>
    <col min="12805" max="12805" width="11.28515625" style="201" customWidth="1"/>
    <col min="12806" max="12806" width="9.5703125" style="201" customWidth="1"/>
    <col min="12807" max="12812" width="0" style="201" hidden="1" customWidth="1"/>
    <col min="12813" max="12813" width="11.28515625" style="201" customWidth="1"/>
    <col min="12814" max="12814" width="11.140625" style="201" customWidth="1"/>
    <col min="12815" max="12815" width="8.140625" style="201" customWidth="1"/>
    <col min="12816" max="12816" width="9.28515625" style="201" customWidth="1"/>
    <col min="12817" max="12817" width="9" style="201" customWidth="1"/>
    <col min="12818" max="12818" width="9.28515625" style="201" customWidth="1"/>
    <col min="12819" max="12820" width="0" style="201" hidden="1" customWidth="1"/>
    <col min="12821" max="12821" width="9.140625" style="201" customWidth="1"/>
    <col min="12822" max="12822" width="10.140625" style="201" customWidth="1"/>
    <col min="12823" max="12823" width="9.140625" style="201" customWidth="1"/>
    <col min="12824" max="12830" width="9.5703125" style="201" customWidth="1"/>
    <col min="12831" max="12831" width="19.28515625" style="201" customWidth="1"/>
    <col min="12832" max="12832" width="22.140625" style="201" customWidth="1"/>
    <col min="12833" max="12833" width="16.7109375" style="201" customWidth="1"/>
    <col min="12834" max="12834" width="13.5703125" style="201" customWidth="1"/>
    <col min="12835" max="12835" width="12" style="201" customWidth="1"/>
    <col min="12836" max="12836" width="9.28515625" style="201" customWidth="1"/>
    <col min="12837" max="12837" width="15.28515625" style="201" customWidth="1"/>
    <col min="12838" max="12838" width="9.7109375" style="201" customWidth="1"/>
    <col min="12839" max="12839" width="2.5703125" style="201" customWidth="1"/>
    <col min="12840" max="12840" width="23.85546875" style="201" customWidth="1"/>
    <col min="12841" max="13054" width="9.140625" style="201"/>
    <col min="13055" max="13055" width="6.28515625" style="201" customWidth="1"/>
    <col min="13056" max="13056" width="35.5703125" style="201" customWidth="1"/>
    <col min="13057" max="13059" width="0" style="201" hidden="1" customWidth="1"/>
    <col min="13060" max="13060" width="17.28515625" style="201" customWidth="1"/>
    <col min="13061" max="13061" width="11.28515625" style="201" customWidth="1"/>
    <col min="13062" max="13062" width="9.5703125" style="201" customWidth="1"/>
    <col min="13063" max="13068" width="0" style="201" hidden="1" customWidth="1"/>
    <col min="13069" max="13069" width="11.28515625" style="201" customWidth="1"/>
    <col min="13070" max="13070" width="11.140625" style="201" customWidth="1"/>
    <col min="13071" max="13071" width="8.140625" style="201" customWidth="1"/>
    <col min="13072" max="13072" width="9.28515625" style="201" customWidth="1"/>
    <col min="13073" max="13073" width="9" style="201" customWidth="1"/>
    <col min="13074" max="13074" width="9.28515625" style="201" customWidth="1"/>
    <col min="13075" max="13076" width="0" style="201" hidden="1" customWidth="1"/>
    <col min="13077" max="13077" width="9.140625" style="201" customWidth="1"/>
    <col min="13078" max="13078" width="10.140625" style="201" customWidth="1"/>
    <col min="13079" max="13079" width="9.140625" style="201" customWidth="1"/>
    <col min="13080" max="13086" width="9.5703125" style="201" customWidth="1"/>
    <col min="13087" max="13087" width="19.28515625" style="201" customWidth="1"/>
    <col min="13088" max="13088" width="22.140625" style="201" customWidth="1"/>
    <col min="13089" max="13089" width="16.7109375" style="201" customWidth="1"/>
    <col min="13090" max="13090" width="13.5703125" style="201" customWidth="1"/>
    <col min="13091" max="13091" width="12" style="201" customWidth="1"/>
    <col min="13092" max="13092" width="9.28515625" style="201" customWidth="1"/>
    <col min="13093" max="13093" width="15.28515625" style="201" customWidth="1"/>
    <col min="13094" max="13094" width="9.7109375" style="201" customWidth="1"/>
    <col min="13095" max="13095" width="2.5703125" style="201" customWidth="1"/>
    <col min="13096" max="13096" width="23.85546875" style="201" customWidth="1"/>
    <col min="13097" max="13310" width="9.140625" style="201"/>
    <col min="13311" max="13311" width="6.28515625" style="201" customWidth="1"/>
    <col min="13312" max="13312" width="35.5703125" style="201" customWidth="1"/>
    <col min="13313" max="13315" width="0" style="201" hidden="1" customWidth="1"/>
    <col min="13316" max="13316" width="17.28515625" style="201" customWidth="1"/>
    <col min="13317" max="13317" width="11.28515625" style="201" customWidth="1"/>
    <col min="13318" max="13318" width="9.5703125" style="201" customWidth="1"/>
    <col min="13319" max="13324" width="0" style="201" hidden="1" customWidth="1"/>
    <col min="13325" max="13325" width="11.28515625" style="201" customWidth="1"/>
    <col min="13326" max="13326" width="11.140625" style="201" customWidth="1"/>
    <col min="13327" max="13327" width="8.140625" style="201" customWidth="1"/>
    <col min="13328" max="13328" width="9.28515625" style="201" customWidth="1"/>
    <col min="13329" max="13329" width="9" style="201" customWidth="1"/>
    <col min="13330" max="13330" width="9.28515625" style="201" customWidth="1"/>
    <col min="13331" max="13332" width="0" style="201" hidden="1" customWidth="1"/>
    <col min="13333" max="13333" width="9.140625" style="201" customWidth="1"/>
    <col min="13334" max="13334" width="10.140625" style="201" customWidth="1"/>
    <col min="13335" max="13335" width="9.140625" style="201" customWidth="1"/>
    <col min="13336" max="13342" width="9.5703125" style="201" customWidth="1"/>
    <col min="13343" max="13343" width="19.28515625" style="201" customWidth="1"/>
    <col min="13344" max="13344" width="22.140625" style="201" customWidth="1"/>
    <col min="13345" max="13345" width="16.7109375" style="201" customWidth="1"/>
    <col min="13346" max="13346" width="13.5703125" style="201" customWidth="1"/>
    <col min="13347" max="13347" width="12" style="201" customWidth="1"/>
    <col min="13348" max="13348" width="9.28515625" style="201" customWidth="1"/>
    <col min="13349" max="13349" width="15.28515625" style="201" customWidth="1"/>
    <col min="13350" max="13350" width="9.7109375" style="201" customWidth="1"/>
    <col min="13351" max="13351" width="2.5703125" style="201" customWidth="1"/>
    <col min="13352" max="13352" width="23.85546875" style="201" customWidth="1"/>
    <col min="13353" max="13566" width="9.140625" style="201"/>
    <col min="13567" max="13567" width="6.28515625" style="201" customWidth="1"/>
    <col min="13568" max="13568" width="35.5703125" style="201" customWidth="1"/>
    <col min="13569" max="13571" width="0" style="201" hidden="1" customWidth="1"/>
    <col min="13572" max="13572" width="17.28515625" style="201" customWidth="1"/>
    <col min="13573" max="13573" width="11.28515625" style="201" customWidth="1"/>
    <col min="13574" max="13574" width="9.5703125" style="201" customWidth="1"/>
    <col min="13575" max="13580" width="0" style="201" hidden="1" customWidth="1"/>
    <col min="13581" max="13581" width="11.28515625" style="201" customWidth="1"/>
    <col min="13582" max="13582" width="11.140625" style="201" customWidth="1"/>
    <col min="13583" max="13583" width="8.140625" style="201" customWidth="1"/>
    <col min="13584" max="13584" width="9.28515625" style="201" customWidth="1"/>
    <col min="13585" max="13585" width="9" style="201" customWidth="1"/>
    <col min="13586" max="13586" width="9.28515625" style="201" customWidth="1"/>
    <col min="13587" max="13588" width="0" style="201" hidden="1" customWidth="1"/>
    <col min="13589" max="13589" width="9.140625" style="201" customWidth="1"/>
    <col min="13590" max="13590" width="10.140625" style="201" customWidth="1"/>
    <col min="13591" max="13591" width="9.140625" style="201" customWidth="1"/>
    <col min="13592" max="13598" width="9.5703125" style="201" customWidth="1"/>
    <col min="13599" max="13599" width="19.28515625" style="201" customWidth="1"/>
    <col min="13600" max="13600" width="22.140625" style="201" customWidth="1"/>
    <col min="13601" max="13601" width="16.7109375" style="201" customWidth="1"/>
    <col min="13602" max="13602" width="13.5703125" style="201" customWidth="1"/>
    <col min="13603" max="13603" width="12" style="201" customWidth="1"/>
    <col min="13604" max="13604" width="9.28515625" style="201" customWidth="1"/>
    <col min="13605" max="13605" width="15.28515625" style="201" customWidth="1"/>
    <col min="13606" max="13606" width="9.7109375" style="201" customWidth="1"/>
    <col min="13607" max="13607" width="2.5703125" style="201" customWidth="1"/>
    <col min="13608" max="13608" width="23.85546875" style="201" customWidth="1"/>
    <col min="13609" max="13822" width="9.140625" style="201"/>
    <col min="13823" max="13823" width="6.28515625" style="201" customWidth="1"/>
    <col min="13824" max="13824" width="35.5703125" style="201" customWidth="1"/>
    <col min="13825" max="13827" width="0" style="201" hidden="1" customWidth="1"/>
    <col min="13828" max="13828" width="17.28515625" style="201" customWidth="1"/>
    <col min="13829" max="13829" width="11.28515625" style="201" customWidth="1"/>
    <col min="13830" max="13830" width="9.5703125" style="201" customWidth="1"/>
    <col min="13831" max="13836" width="0" style="201" hidden="1" customWidth="1"/>
    <col min="13837" max="13837" width="11.28515625" style="201" customWidth="1"/>
    <col min="13838" max="13838" width="11.140625" style="201" customWidth="1"/>
    <col min="13839" max="13839" width="8.140625" style="201" customWidth="1"/>
    <col min="13840" max="13840" width="9.28515625" style="201" customWidth="1"/>
    <col min="13841" max="13841" width="9" style="201" customWidth="1"/>
    <col min="13842" max="13842" width="9.28515625" style="201" customWidth="1"/>
    <col min="13843" max="13844" width="0" style="201" hidden="1" customWidth="1"/>
    <col min="13845" max="13845" width="9.140625" style="201" customWidth="1"/>
    <col min="13846" max="13846" width="10.140625" style="201" customWidth="1"/>
    <col min="13847" max="13847" width="9.140625" style="201" customWidth="1"/>
    <col min="13848" max="13854" width="9.5703125" style="201" customWidth="1"/>
    <col min="13855" max="13855" width="19.28515625" style="201" customWidth="1"/>
    <col min="13856" max="13856" width="22.140625" style="201" customWidth="1"/>
    <col min="13857" max="13857" width="16.7109375" style="201" customWidth="1"/>
    <col min="13858" max="13858" width="13.5703125" style="201" customWidth="1"/>
    <col min="13859" max="13859" width="12" style="201" customWidth="1"/>
    <col min="13860" max="13860" width="9.28515625" style="201" customWidth="1"/>
    <col min="13861" max="13861" width="15.28515625" style="201" customWidth="1"/>
    <col min="13862" max="13862" width="9.7109375" style="201" customWidth="1"/>
    <col min="13863" max="13863" width="2.5703125" style="201" customWidth="1"/>
    <col min="13864" max="13864" width="23.85546875" style="201" customWidth="1"/>
    <col min="13865" max="14078" width="9.140625" style="201"/>
    <col min="14079" max="14079" width="6.28515625" style="201" customWidth="1"/>
    <col min="14080" max="14080" width="35.5703125" style="201" customWidth="1"/>
    <col min="14081" max="14083" width="0" style="201" hidden="1" customWidth="1"/>
    <col min="14084" max="14084" width="17.28515625" style="201" customWidth="1"/>
    <col min="14085" max="14085" width="11.28515625" style="201" customWidth="1"/>
    <col min="14086" max="14086" width="9.5703125" style="201" customWidth="1"/>
    <col min="14087" max="14092" width="0" style="201" hidden="1" customWidth="1"/>
    <col min="14093" max="14093" width="11.28515625" style="201" customWidth="1"/>
    <col min="14094" max="14094" width="11.140625" style="201" customWidth="1"/>
    <col min="14095" max="14095" width="8.140625" style="201" customWidth="1"/>
    <col min="14096" max="14096" width="9.28515625" style="201" customWidth="1"/>
    <col min="14097" max="14097" width="9" style="201" customWidth="1"/>
    <col min="14098" max="14098" width="9.28515625" style="201" customWidth="1"/>
    <col min="14099" max="14100" width="0" style="201" hidden="1" customWidth="1"/>
    <col min="14101" max="14101" width="9.140625" style="201" customWidth="1"/>
    <col min="14102" max="14102" width="10.140625" style="201" customWidth="1"/>
    <col min="14103" max="14103" width="9.140625" style="201" customWidth="1"/>
    <col min="14104" max="14110" width="9.5703125" style="201" customWidth="1"/>
    <col min="14111" max="14111" width="19.28515625" style="201" customWidth="1"/>
    <col min="14112" max="14112" width="22.140625" style="201" customWidth="1"/>
    <col min="14113" max="14113" width="16.7109375" style="201" customWidth="1"/>
    <col min="14114" max="14114" width="13.5703125" style="201" customWidth="1"/>
    <col min="14115" max="14115" width="12" style="201" customWidth="1"/>
    <col min="14116" max="14116" width="9.28515625" style="201" customWidth="1"/>
    <col min="14117" max="14117" width="15.28515625" style="201" customWidth="1"/>
    <col min="14118" max="14118" width="9.7109375" style="201" customWidth="1"/>
    <col min="14119" max="14119" width="2.5703125" style="201" customWidth="1"/>
    <col min="14120" max="14120" width="23.85546875" style="201" customWidth="1"/>
    <col min="14121" max="14334" width="9.140625" style="201"/>
    <col min="14335" max="14335" width="6.28515625" style="201" customWidth="1"/>
    <col min="14336" max="14336" width="35.5703125" style="201" customWidth="1"/>
    <col min="14337" max="14339" width="0" style="201" hidden="1" customWidth="1"/>
    <col min="14340" max="14340" width="17.28515625" style="201" customWidth="1"/>
    <col min="14341" max="14341" width="11.28515625" style="201" customWidth="1"/>
    <col min="14342" max="14342" width="9.5703125" style="201" customWidth="1"/>
    <col min="14343" max="14348" width="0" style="201" hidden="1" customWidth="1"/>
    <col min="14349" max="14349" width="11.28515625" style="201" customWidth="1"/>
    <col min="14350" max="14350" width="11.140625" style="201" customWidth="1"/>
    <col min="14351" max="14351" width="8.140625" style="201" customWidth="1"/>
    <col min="14352" max="14352" width="9.28515625" style="201" customWidth="1"/>
    <col min="14353" max="14353" width="9" style="201" customWidth="1"/>
    <col min="14354" max="14354" width="9.28515625" style="201" customWidth="1"/>
    <col min="14355" max="14356" width="0" style="201" hidden="1" customWidth="1"/>
    <col min="14357" max="14357" width="9.140625" style="201" customWidth="1"/>
    <col min="14358" max="14358" width="10.140625" style="201" customWidth="1"/>
    <col min="14359" max="14359" width="9.140625" style="201" customWidth="1"/>
    <col min="14360" max="14366" width="9.5703125" style="201" customWidth="1"/>
    <col min="14367" max="14367" width="19.28515625" style="201" customWidth="1"/>
    <col min="14368" max="14368" width="22.140625" style="201" customWidth="1"/>
    <col min="14369" max="14369" width="16.7109375" style="201" customWidth="1"/>
    <col min="14370" max="14370" width="13.5703125" style="201" customWidth="1"/>
    <col min="14371" max="14371" width="12" style="201" customWidth="1"/>
    <col min="14372" max="14372" width="9.28515625" style="201" customWidth="1"/>
    <col min="14373" max="14373" width="15.28515625" style="201" customWidth="1"/>
    <col min="14374" max="14374" width="9.7109375" style="201" customWidth="1"/>
    <col min="14375" max="14375" width="2.5703125" style="201" customWidth="1"/>
    <col min="14376" max="14376" width="23.85546875" style="201" customWidth="1"/>
    <col min="14377" max="14590" width="9.140625" style="201"/>
    <col min="14591" max="14591" width="6.28515625" style="201" customWidth="1"/>
    <col min="14592" max="14592" width="35.5703125" style="201" customWidth="1"/>
    <col min="14593" max="14595" width="0" style="201" hidden="1" customWidth="1"/>
    <col min="14596" max="14596" width="17.28515625" style="201" customWidth="1"/>
    <col min="14597" max="14597" width="11.28515625" style="201" customWidth="1"/>
    <col min="14598" max="14598" width="9.5703125" style="201" customWidth="1"/>
    <col min="14599" max="14604" width="0" style="201" hidden="1" customWidth="1"/>
    <col min="14605" max="14605" width="11.28515625" style="201" customWidth="1"/>
    <col min="14606" max="14606" width="11.140625" style="201" customWidth="1"/>
    <col min="14607" max="14607" width="8.140625" style="201" customWidth="1"/>
    <col min="14608" max="14608" width="9.28515625" style="201" customWidth="1"/>
    <col min="14609" max="14609" width="9" style="201" customWidth="1"/>
    <col min="14610" max="14610" width="9.28515625" style="201" customWidth="1"/>
    <col min="14611" max="14612" width="0" style="201" hidden="1" customWidth="1"/>
    <col min="14613" max="14613" width="9.140625" style="201" customWidth="1"/>
    <col min="14614" max="14614" width="10.140625" style="201" customWidth="1"/>
    <col min="14615" max="14615" width="9.140625" style="201" customWidth="1"/>
    <col min="14616" max="14622" width="9.5703125" style="201" customWidth="1"/>
    <col min="14623" max="14623" width="19.28515625" style="201" customWidth="1"/>
    <col min="14624" max="14624" width="22.140625" style="201" customWidth="1"/>
    <col min="14625" max="14625" width="16.7109375" style="201" customWidth="1"/>
    <col min="14626" max="14626" width="13.5703125" style="201" customWidth="1"/>
    <col min="14627" max="14627" width="12" style="201" customWidth="1"/>
    <col min="14628" max="14628" width="9.28515625" style="201" customWidth="1"/>
    <col min="14629" max="14629" width="15.28515625" style="201" customWidth="1"/>
    <col min="14630" max="14630" width="9.7109375" style="201" customWidth="1"/>
    <col min="14631" max="14631" width="2.5703125" style="201" customWidth="1"/>
    <col min="14632" max="14632" width="23.85546875" style="201" customWidth="1"/>
    <col min="14633" max="14846" width="9.140625" style="201"/>
    <col min="14847" max="14847" width="6.28515625" style="201" customWidth="1"/>
    <col min="14848" max="14848" width="35.5703125" style="201" customWidth="1"/>
    <col min="14849" max="14851" width="0" style="201" hidden="1" customWidth="1"/>
    <col min="14852" max="14852" width="17.28515625" style="201" customWidth="1"/>
    <col min="14853" max="14853" width="11.28515625" style="201" customWidth="1"/>
    <col min="14854" max="14854" width="9.5703125" style="201" customWidth="1"/>
    <col min="14855" max="14860" width="0" style="201" hidden="1" customWidth="1"/>
    <col min="14861" max="14861" width="11.28515625" style="201" customWidth="1"/>
    <col min="14862" max="14862" width="11.140625" style="201" customWidth="1"/>
    <col min="14863" max="14863" width="8.140625" style="201" customWidth="1"/>
    <col min="14864" max="14864" width="9.28515625" style="201" customWidth="1"/>
    <col min="14865" max="14865" width="9" style="201" customWidth="1"/>
    <col min="14866" max="14866" width="9.28515625" style="201" customWidth="1"/>
    <col min="14867" max="14868" width="0" style="201" hidden="1" customWidth="1"/>
    <col min="14869" max="14869" width="9.140625" style="201" customWidth="1"/>
    <col min="14870" max="14870" width="10.140625" style="201" customWidth="1"/>
    <col min="14871" max="14871" width="9.140625" style="201" customWidth="1"/>
    <col min="14872" max="14878" width="9.5703125" style="201" customWidth="1"/>
    <col min="14879" max="14879" width="19.28515625" style="201" customWidth="1"/>
    <col min="14880" max="14880" width="22.140625" style="201" customWidth="1"/>
    <col min="14881" max="14881" width="16.7109375" style="201" customWidth="1"/>
    <col min="14882" max="14882" width="13.5703125" style="201" customWidth="1"/>
    <col min="14883" max="14883" width="12" style="201" customWidth="1"/>
    <col min="14884" max="14884" width="9.28515625" style="201" customWidth="1"/>
    <col min="14885" max="14885" width="15.28515625" style="201" customWidth="1"/>
    <col min="14886" max="14886" width="9.7109375" style="201" customWidth="1"/>
    <col min="14887" max="14887" width="2.5703125" style="201" customWidth="1"/>
    <col min="14888" max="14888" width="23.85546875" style="201" customWidth="1"/>
    <col min="14889" max="15102" width="9.140625" style="201"/>
    <col min="15103" max="15103" width="6.28515625" style="201" customWidth="1"/>
    <col min="15104" max="15104" width="35.5703125" style="201" customWidth="1"/>
    <col min="15105" max="15107" width="0" style="201" hidden="1" customWidth="1"/>
    <col min="15108" max="15108" width="17.28515625" style="201" customWidth="1"/>
    <col min="15109" max="15109" width="11.28515625" style="201" customWidth="1"/>
    <col min="15110" max="15110" width="9.5703125" style="201" customWidth="1"/>
    <col min="15111" max="15116" width="0" style="201" hidden="1" customWidth="1"/>
    <col min="15117" max="15117" width="11.28515625" style="201" customWidth="1"/>
    <col min="15118" max="15118" width="11.140625" style="201" customWidth="1"/>
    <col min="15119" max="15119" width="8.140625" style="201" customWidth="1"/>
    <col min="15120" max="15120" width="9.28515625" style="201" customWidth="1"/>
    <col min="15121" max="15121" width="9" style="201" customWidth="1"/>
    <col min="15122" max="15122" width="9.28515625" style="201" customWidth="1"/>
    <col min="15123" max="15124" width="0" style="201" hidden="1" customWidth="1"/>
    <col min="15125" max="15125" width="9.140625" style="201" customWidth="1"/>
    <col min="15126" max="15126" width="10.140625" style="201" customWidth="1"/>
    <col min="15127" max="15127" width="9.140625" style="201" customWidth="1"/>
    <col min="15128" max="15134" width="9.5703125" style="201" customWidth="1"/>
    <col min="15135" max="15135" width="19.28515625" style="201" customWidth="1"/>
    <col min="15136" max="15136" width="22.140625" style="201" customWidth="1"/>
    <col min="15137" max="15137" width="16.7109375" style="201" customWidth="1"/>
    <col min="15138" max="15138" width="13.5703125" style="201" customWidth="1"/>
    <col min="15139" max="15139" width="12" style="201" customWidth="1"/>
    <col min="15140" max="15140" width="9.28515625" style="201" customWidth="1"/>
    <col min="15141" max="15141" width="15.28515625" style="201" customWidth="1"/>
    <col min="15142" max="15142" width="9.7109375" style="201" customWidth="1"/>
    <col min="15143" max="15143" width="2.5703125" style="201" customWidth="1"/>
    <col min="15144" max="15144" width="23.85546875" style="201" customWidth="1"/>
    <col min="15145" max="15358" width="9.140625" style="201"/>
    <col min="15359" max="15359" width="6.28515625" style="201" customWidth="1"/>
    <col min="15360" max="15360" width="35.5703125" style="201" customWidth="1"/>
    <col min="15361" max="15363" width="0" style="201" hidden="1" customWidth="1"/>
    <col min="15364" max="15364" width="17.28515625" style="201" customWidth="1"/>
    <col min="15365" max="15365" width="11.28515625" style="201" customWidth="1"/>
    <col min="15366" max="15366" width="9.5703125" style="201" customWidth="1"/>
    <col min="15367" max="15372" width="0" style="201" hidden="1" customWidth="1"/>
    <col min="15373" max="15373" width="11.28515625" style="201" customWidth="1"/>
    <col min="15374" max="15374" width="11.140625" style="201" customWidth="1"/>
    <col min="15375" max="15375" width="8.140625" style="201" customWidth="1"/>
    <col min="15376" max="15376" width="9.28515625" style="201" customWidth="1"/>
    <col min="15377" max="15377" width="9" style="201" customWidth="1"/>
    <col min="15378" max="15378" width="9.28515625" style="201" customWidth="1"/>
    <col min="15379" max="15380" width="0" style="201" hidden="1" customWidth="1"/>
    <col min="15381" max="15381" width="9.140625" style="201" customWidth="1"/>
    <col min="15382" max="15382" width="10.140625" style="201" customWidth="1"/>
    <col min="15383" max="15383" width="9.140625" style="201" customWidth="1"/>
    <col min="15384" max="15390" width="9.5703125" style="201" customWidth="1"/>
    <col min="15391" max="15391" width="19.28515625" style="201" customWidth="1"/>
    <col min="15392" max="15392" width="22.140625" style="201" customWidth="1"/>
    <col min="15393" max="15393" width="16.7109375" style="201" customWidth="1"/>
    <col min="15394" max="15394" width="13.5703125" style="201" customWidth="1"/>
    <col min="15395" max="15395" width="12" style="201" customWidth="1"/>
    <col min="15396" max="15396" width="9.28515625" style="201" customWidth="1"/>
    <col min="15397" max="15397" width="15.28515625" style="201" customWidth="1"/>
    <col min="15398" max="15398" width="9.7109375" style="201" customWidth="1"/>
    <col min="15399" max="15399" width="2.5703125" style="201" customWidth="1"/>
    <col min="15400" max="15400" width="23.85546875" style="201" customWidth="1"/>
    <col min="15401" max="15614" width="9.140625" style="201"/>
    <col min="15615" max="15615" width="6.28515625" style="201" customWidth="1"/>
    <col min="15616" max="15616" width="35.5703125" style="201" customWidth="1"/>
    <col min="15617" max="15619" width="0" style="201" hidden="1" customWidth="1"/>
    <col min="15620" max="15620" width="17.28515625" style="201" customWidth="1"/>
    <col min="15621" max="15621" width="11.28515625" style="201" customWidth="1"/>
    <col min="15622" max="15622" width="9.5703125" style="201" customWidth="1"/>
    <col min="15623" max="15628" width="0" style="201" hidden="1" customWidth="1"/>
    <col min="15629" max="15629" width="11.28515625" style="201" customWidth="1"/>
    <col min="15630" max="15630" width="11.140625" style="201" customWidth="1"/>
    <col min="15631" max="15631" width="8.140625" style="201" customWidth="1"/>
    <col min="15632" max="15632" width="9.28515625" style="201" customWidth="1"/>
    <col min="15633" max="15633" width="9" style="201" customWidth="1"/>
    <col min="15634" max="15634" width="9.28515625" style="201" customWidth="1"/>
    <col min="15635" max="15636" width="0" style="201" hidden="1" customWidth="1"/>
    <col min="15637" max="15637" width="9.140625" style="201" customWidth="1"/>
    <col min="15638" max="15638" width="10.140625" style="201" customWidth="1"/>
    <col min="15639" max="15639" width="9.140625" style="201" customWidth="1"/>
    <col min="15640" max="15646" width="9.5703125" style="201" customWidth="1"/>
    <col min="15647" max="15647" width="19.28515625" style="201" customWidth="1"/>
    <col min="15648" max="15648" width="22.140625" style="201" customWidth="1"/>
    <col min="15649" max="15649" width="16.7109375" style="201" customWidth="1"/>
    <col min="15650" max="15650" width="13.5703125" style="201" customWidth="1"/>
    <col min="15651" max="15651" width="12" style="201" customWidth="1"/>
    <col min="15652" max="15652" width="9.28515625" style="201" customWidth="1"/>
    <col min="15653" max="15653" width="15.28515625" style="201" customWidth="1"/>
    <col min="15654" max="15654" width="9.7109375" style="201" customWidth="1"/>
    <col min="15655" max="15655" width="2.5703125" style="201" customWidth="1"/>
    <col min="15656" max="15656" width="23.85546875" style="201" customWidth="1"/>
    <col min="15657" max="15870" width="9.140625" style="201"/>
    <col min="15871" max="15871" width="6.28515625" style="201" customWidth="1"/>
    <col min="15872" max="15872" width="35.5703125" style="201" customWidth="1"/>
    <col min="15873" max="15875" width="0" style="201" hidden="1" customWidth="1"/>
    <col min="15876" max="15876" width="17.28515625" style="201" customWidth="1"/>
    <col min="15877" max="15877" width="11.28515625" style="201" customWidth="1"/>
    <col min="15878" max="15878" width="9.5703125" style="201" customWidth="1"/>
    <col min="15879" max="15884" width="0" style="201" hidden="1" customWidth="1"/>
    <col min="15885" max="15885" width="11.28515625" style="201" customWidth="1"/>
    <col min="15886" max="15886" width="11.140625" style="201" customWidth="1"/>
    <col min="15887" max="15887" width="8.140625" style="201" customWidth="1"/>
    <col min="15888" max="15888" width="9.28515625" style="201" customWidth="1"/>
    <col min="15889" max="15889" width="9" style="201" customWidth="1"/>
    <col min="15890" max="15890" width="9.28515625" style="201" customWidth="1"/>
    <col min="15891" max="15892" width="0" style="201" hidden="1" customWidth="1"/>
    <col min="15893" max="15893" width="9.140625" style="201" customWidth="1"/>
    <col min="15894" max="15894" width="10.140625" style="201" customWidth="1"/>
    <col min="15895" max="15895" width="9.140625" style="201" customWidth="1"/>
    <col min="15896" max="15902" width="9.5703125" style="201" customWidth="1"/>
    <col min="15903" max="15903" width="19.28515625" style="201" customWidth="1"/>
    <col min="15904" max="15904" width="22.140625" style="201" customWidth="1"/>
    <col min="15905" max="15905" width="16.7109375" style="201" customWidth="1"/>
    <col min="15906" max="15906" width="13.5703125" style="201" customWidth="1"/>
    <col min="15907" max="15907" width="12" style="201" customWidth="1"/>
    <col min="15908" max="15908" width="9.28515625" style="201" customWidth="1"/>
    <col min="15909" max="15909" width="15.28515625" style="201" customWidth="1"/>
    <col min="15910" max="15910" width="9.7109375" style="201" customWidth="1"/>
    <col min="15911" max="15911" width="2.5703125" style="201" customWidth="1"/>
    <col min="15912" max="15912" width="23.85546875" style="201" customWidth="1"/>
    <col min="15913" max="16126" width="9.140625" style="201"/>
    <col min="16127" max="16127" width="6.28515625" style="201" customWidth="1"/>
    <col min="16128" max="16128" width="35.5703125" style="201" customWidth="1"/>
    <col min="16129" max="16131" width="0" style="201" hidden="1" customWidth="1"/>
    <col min="16132" max="16132" width="17.28515625" style="201" customWidth="1"/>
    <col min="16133" max="16133" width="11.28515625" style="201" customWidth="1"/>
    <col min="16134" max="16134" width="9.5703125" style="201" customWidth="1"/>
    <col min="16135" max="16140" width="0" style="201" hidden="1" customWidth="1"/>
    <col min="16141" max="16141" width="11.28515625" style="201" customWidth="1"/>
    <col min="16142" max="16142" width="11.140625" style="201" customWidth="1"/>
    <col min="16143" max="16143" width="8.140625" style="201" customWidth="1"/>
    <col min="16144" max="16144" width="9.28515625" style="201" customWidth="1"/>
    <col min="16145" max="16145" width="9" style="201" customWidth="1"/>
    <col min="16146" max="16146" width="9.28515625" style="201" customWidth="1"/>
    <col min="16147" max="16148" width="0" style="201" hidden="1" customWidth="1"/>
    <col min="16149" max="16149" width="9.140625" style="201" customWidth="1"/>
    <col min="16150" max="16150" width="10.140625" style="201" customWidth="1"/>
    <col min="16151" max="16151" width="9.140625" style="201" customWidth="1"/>
    <col min="16152" max="16158" width="9.5703125" style="201" customWidth="1"/>
    <col min="16159" max="16159" width="19.28515625" style="201" customWidth="1"/>
    <col min="16160" max="16160" width="22.140625" style="201" customWidth="1"/>
    <col min="16161" max="16161" width="16.7109375" style="201" customWidth="1"/>
    <col min="16162" max="16162" width="13.5703125" style="201" customWidth="1"/>
    <col min="16163" max="16163" width="12" style="201" customWidth="1"/>
    <col min="16164" max="16164" width="9.28515625" style="201" customWidth="1"/>
    <col min="16165" max="16165" width="15.28515625" style="201" customWidth="1"/>
    <col min="16166" max="16166" width="9.7109375" style="201" customWidth="1"/>
    <col min="16167" max="16167" width="2.5703125" style="201" customWidth="1"/>
    <col min="16168" max="16168" width="23.85546875" style="201" customWidth="1"/>
    <col min="16169" max="16353" width="9.140625" style="201"/>
    <col min="16354" max="16364" width="9.140625" style="201" customWidth="1"/>
    <col min="16365" max="16384" width="9.140625" style="201"/>
  </cols>
  <sheetData>
    <row r="1" spans="1:53" ht="19.5">
      <c r="A1" s="678" t="s">
        <v>282</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row>
    <row r="2" spans="1:53" s="13" customFormat="1" ht="23.45" customHeight="1">
      <c r="A2" s="679" t="s">
        <v>1052</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52"/>
    </row>
    <row r="3" spans="1:53" s="13" customFormat="1" ht="30.6" customHeight="1">
      <c r="A3" s="668" t="s">
        <v>1051</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52"/>
    </row>
    <row r="4" spans="1:53" s="202" customFormat="1" ht="29.25" customHeight="1">
      <c r="A4" s="681" t="s">
        <v>1053</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203"/>
    </row>
    <row r="5" spans="1:53" s="202" customFormat="1" ht="18.95" customHeight="1">
      <c r="A5" s="204"/>
      <c r="B5" s="204"/>
      <c r="C5" s="204"/>
      <c r="D5" s="204"/>
      <c r="E5" s="204"/>
      <c r="F5" s="204"/>
      <c r="G5" s="204"/>
      <c r="H5" s="204"/>
      <c r="I5" s="359"/>
      <c r="J5" s="204"/>
      <c r="K5" s="204"/>
      <c r="L5" s="204"/>
      <c r="M5" s="204"/>
      <c r="N5" s="204"/>
      <c r="O5" s="204"/>
      <c r="P5" s="562"/>
      <c r="Q5" s="562"/>
      <c r="R5" s="205"/>
      <c r="S5" s="205"/>
      <c r="T5" s="205"/>
      <c r="U5" s="205"/>
      <c r="V5" s="563"/>
      <c r="W5" s="564"/>
      <c r="X5" s="564"/>
      <c r="Y5" s="564"/>
      <c r="Z5" s="564"/>
      <c r="AA5" s="565"/>
      <c r="AB5" s="565"/>
      <c r="AC5" s="565"/>
      <c r="AD5" s="565"/>
      <c r="AE5" s="564"/>
      <c r="AF5" s="564"/>
      <c r="AG5" s="564"/>
      <c r="AH5" s="564"/>
      <c r="AI5" s="564"/>
      <c r="AJ5" s="564"/>
      <c r="AK5" s="564"/>
      <c r="AL5" s="564"/>
      <c r="AM5" s="564"/>
      <c r="AN5" s="564"/>
      <c r="AO5" s="565"/>
      <c r="AP5" s="565"/>
      <c r="AQ5" s="565"/>
      <c r="AR5" s="667" t="s">
        <v>656</v>
      </c>
      <c r="AS5" s="667"/>
      <c r="AT5" s="667"/>
      <c r="AU5" s="667"/>
      <c r="AV5" s="667"/>
      <c r="AW5" s="667"/>
      <c r="AX5" s="667"/>
      <c r="AY5" s="667"/>
      <c r="AZ5" s="667"/>
      <c r="BA5" s="203"/>
    </row>
    <row r="6" spans="1:53" s="208" customFormat="1" ht="26.25" customHeight="1">
      <c r="A6" s="675" t="s">
        <v>4</v>
      </c>
      <c r="B6" s="675" t="s">
        <v>23</v>
      </c>
      <c r="C6" s="675" t="s">
        <v>24</v>
      </c>
      <c r="D6" s="675" t="s">
        <v>787</v>
      </c>
      <c r="E6" s="675" t="s">
        <v>788</v>
      </c>
      <c r="F6" s="675" t="s">
        <v>789</v>
      </c>
      <c r="G6" s="675" t="s">
        <v>25</v>
      </c>
      <c r="H6" s="675" t="s">
        <v>26</v>
      </c>
      <c r="I6" s="675" t="s">
        <v>288</v>
      </c>
      <c r="J6" s="675"/>
      <c r="K6" s="675"/>
      <c r="L6" s="675" t="s">
        <v>289</v>
      </c>
      <c r="M6" s="675"/>
      <c r="N6" s="675" t="s">
        <v>290</v>
      </c>
      <c r="O6" s="675"/>
      <c r="P6" s="661" t="s">
        <v>291</v>
      </c>
      <c r="Q6" s="662"/>
      <c r="R6" s="675" t="s">
        <v>885</v>
      </c>
      <c r="S6" s="675"/>
      <c r="T6" s="675"/>
      <c r="U6" s="675"/>
      <c r="V6" s="661" t="s">
        <v>794</v>
      </c>
      <c r="W6" s="675" t="s">
        <v>292</v>
      </c>
      <c r="X6" s="675"/>
      <c r="Y6" s="675"/>
      <c r="Z6" s="675"/>
      <c r="AA6" s="672" t="s">
        <v>663</v>
      </c>
      <c r="AB6" s="672"/>
      <c r="AC6" s="672"/>
      <c r="AD6" s="662"/>
      <c r="AE6" s="661" t="s">
        <v>782</v>
      </c>
      <c r="AF6" s="662"/>
      <c r="AG6" s="661" t="s">
        <v>283</v>
      </c>
      <c r="AH6" s="662"/>
      <c r="AI6" s="661" t="s">
        <v>664</v>
      </c>
      <c r="AJ6" s="662"/>
      <c r="AK6" s="661" t="s">
        <v>284</v>
      </c>
      <c r="AL6" s="672"/>
      <c r="AM6" s="672"/>
      <c r="AN6" s="662"/>
      <c r="AO6" s="675" t="s">
        <v>657</v>
      </c>
      <c r="AP6" s="675"/>
      <c r="AQ6" s="675"/>
      <c r="AR6" s="675"/>
      <c r="AS6" s="661" t="s">
        <v>886</v>
      </c>
      <c r="AT6" s="661" t="s">
        <v>887</v>
      </c>
      <c r="AU6" s="662"/>
      <c r="AV6" s="675" t="s">
        <v>888</v>
      </c>
      <c r="AW6" s="675"/>
      <c r="AX6" s="675"/>
      <c r="AY6" s="675"/>
      <c r="AZ6" s="675" t="s">
        <v>7</v>
      </c>
      <c r="BA6" s="653"/>
    </row>
    <row r="7" spans="1:53" s="207" customFormat="1" ht="20.25" customHeight="1">
      <c r="A7" s="675"/>
      <c r="B7" s="675"/>
      <c r="C7" s="675"/>
      <c r="D7" s="675"/>
      <c r="E7" s="675"/>
      <c r="F7" s="675"/>
      <c r="G7" s="675"/>
      <c r="H7" s="675"/>
      <c r="I7" s="675"/>
      <c r="J7" s="675"/>
      <c r="K7" s="675"/>
      <c r="L7" s="675"/>
      <c r="M7" s="675"/>
      <c r="N7" s="675"/>
      <c r="O7" s="675"/>
      <c r="P7" s="663"/>
      <c r="Q7" s="664"/>
      <c r="R7" s="675"/>
      <c r="S7" s="675"/>
      <c r="T7" s="675"/>
      <c r="U7" s="675"/>
      <c r="V7" s="676"/>
      <c r="W7" s="675"/>
      <c r="X7" s="675"/>
      <c r="Y7" s="675"/>
      <c r="Z7" s="675"/>
      <c r="AA7" s="680"/>
      <c r="AB7" s="680"/>
      <c r="AC7" s="680"/>
      <c r="AD7" s="664"/>
      <c r="AE7" s="663"/>
      <c r="AF7" s="664"/>
      <c r="AG7" s="663"/>
      <c r="AH7" s="664"/>
      <c r="AI7" s="663"/>
      <c r="AJ7" s="664"/>
      <c r="AK7" s="663"/>
      <c r="AL7" s="680"/>
      <c r="AM7" s="680"/>
      <c r="AN7" s="664"/>
      <c r="AO7" s="675"/>
      <c r="AP7" s="675"/>
      <c r="AQ7" s="675"/>
      <c r="AR7" s="675"/>
      <c r="AS7" s="676"/>
      <c r="AT7" s="663"/>
      <c r="AU7" s="664"/>
      <c r="AV7" s="675"/>
      <c r="AW7" s="675"/>
      <c r="AX7" s="675"/>
      <c r="AY7" s="675"/>
      <c r="AZ7" s="675"/>
      <c r="BA7" s="653"/>
    </row>
    <row r="8" spans="1:53" s="207" customFormat="1" ht="25.5" customHeight="1">
      <c r="A8" s="675"/>
      <c r="B8" s="675"/>
      <c r="C8" s="675"/>
      <c r="D8" s="675"/>
      <c r="E8" s="675"/>
      <c r="F8" s="675"/>
      <c r="G8" s="675"/>
      <c r="H8" s="675"/>
      <c r="I8" s="675" t="s">
        <v>277</v>
      </c>
      <c r="J8" s="675" t="s">
        <v>30</v>
      </c>
      <c r="K8" s="675"/>
      <c r="L8" s="675" t="s">
        <v>31</v>
      </c>
      <c r="M8" s="662" t="s">
        <v>99</v>
      </c>
      <c r="N8" s="675" t="s">
        <v>31</v>
      </c>
      <c r="O8" s="662" t="s">
        <v>99</v>
      </c>
      <c r="P8" s="669" t="s">
        <v>31</v>
      </c>
      <c r="Q8" s="662" t="s">
        <v>99</v>
      </c>
      <c r="R8" s="675" t="s">
        <v>31</v>
      </c>
      <c r="S8" s="675" t="s">
        <v>99</v>
      </c>
      <c r="T8" s="675"/>
      <c r="U8" s="675"/>
      <c r="V8" s="676"/>
      <c r="W8" s="675" t="s">
        <v>31</v>
      </c>
      <c r="X8" s="661" t="s">
        <v>99</v>
      </c>
      <c r="Y8" s="672"/>
      <c r="Z8" s="662"/>
      <c r="AA8" s="675" t="s">
        <v>31</v>
      </c>
      <c r="AB8" s="675" t="s">
        <v>99</v>
      </c>
      <c r="AC8" s="675"/>
      <c r="AD8" s="675"/>
      <c r="AE8" s="669" t="s">
        <v>294</v>
      </c>
      <c r="AF8" s="669" t="s">
        <v>192</v>
      </c>
      <c r="AG8" s="669" t="s">
        <v>9</v>
      </c>
      <c r="AH8" s="669" t="s">
        <v>295</v>
      </c>
      <c r="AI8" s="669" t="s">
        <v>9</v>
      </c>
      <c r="AJ8" s="669" t="s">
        <v>295</v>
      </c>
      <c r="AK8" s="669" t="s">
        <v>31</v>
      </c>
      <c r="AL8" s="675" t="s">
        <v>627</v>
      </c>
      <c r="AM8" s="675"/>
      <c r="AN8" s="675"/>
      <c r="AO8" s="669" t="s">
        <v>31</v>
      </c>
      <c r="AP8" s="675" t="s">
        <v>627</v>
      </c>
      <c r="AQ8" s="675"/>
      <c r="AR8" s="675"/>
      <c r="AS8" s="676"/>
      <c r="AT8" s="669" t="s">
        <v>9</v>
      </c>
      <c r="AU8" s="669" t="s">
        <v>295</v>
      </c>
      <c r="AV8" s="669" t="s">
        <v>31</v>
      </c>
      <c r="AW8" s="675" t="s">
        <v>627</v>
      </c>
      <c r="AX8" s="675"/>
      <c r="AY8" s="675"/>
      <c r="AZ8" s="675"/>
      <c r="BA8" s="654"/>
    </row>
    <row r="9" spans="1:53" s="207" customFormat="1" ht="21" customHeight="1">
      <c r="A9" s="675"/>
      <c r="B9" s="675"/>
      <c r="C9" s="675"/>
      <c r="D9" s="675"/>
      <c r="E9" s="675"/>
      <c r="F9" s="675"/>
      <c r="G9" s="675"/>
      <c r="H9" s="675"/>
      <c r="I9" s="675"/>
      <c r="J9" s="675" t="s">
        <v>31</v>
      </c>
      <c r="K9" s="675" t="s">
        <v>295</v>
      </c>
      <c r="L9" s="675"/>
      <c r="M9" s="677"/>
      <c r="N9" s="675"/>
      <c r="O9" s="677"/>
      <c r="P9" s="670"/>
      <c r="Q9" s="677"/>
      <c r="R9" s="675"/>
      <c r="S9" s="675" t="s">
        <v>9</v>
      </c>
      <c r="T9" s="674" t="s">
        <v>65</v>
      </c>
      <c r="U9" s="674"/>
      <c r="V9" s="676"/>
      <c r="W9" s="675"/>
      <c r="X9" s="673" t="s">
        <v>9</v>
      </c>
      <c r="Y9" s="674" t="s">
        <v>65</v>
      </c>
      <c r="Z9" s="674"/>
      <c r="AA9" s="675"/>
      <c r="AB9" s="673" t="s">
        <v>9</v>
      </c>
      <c r="AC9" s="674" t="s">
        <v>65</v>
      </c>
      <c r="AD9" s="674"/>
      <c r="AE9" s="670"/>
      <c r="AF9" s="670"/>
      <c r="AG9" s="670"/>
      <c r="AH9" s="670"/>
      <c r="AI9" s="670"/>
      <c r="AJ9" s="670"/>
      <c r="AK9" s="670"/>
      <c r="AL9" s="669" t="s">
        <v>9</v>
      </c>
      <c r="AM9" s="669" t="s">
        <v>628</v>
      </c>
      <c r="AN9" s="669" t="s">
        <v>297</v>
      </c>
      <c r="AO9" s="670"/>
      <c r="AP9" s="675" t="s">
        <v>9</v>
      </c>
      <c r="AQ9" s="674" t="s">
        <v>14</v>
      </c>
      <c r="AR9" s="674"/>
      <c r="AS9" s="676"/>
      <c r="AT9" s="670"/>
      <c r="AU9" s="670"/>
      <c r="AV9" s="670"/>
      <c r="AW9" s="675" t="s">
        <v>9</v>
      </c>
      <c r="AX9" s="674" t="s">
        <v>14</v>
      </c>
      <c r="AY9" s="674"/>
      <c r="AZ9" s="675"/>
      <c r="BA9" s="654"/>
    </row>
    <row r="10" spans="1:53" s="207" customFormat="1" ht="15" customHeight="1">
      <c r="A10" s="675"/>
      <c r="B10" s="675"/>
      <c r="C10" s="675"/>
      <c r="D10" s="675"/>
      <c r="E10" s="675"/>
      <c r="F10" s="675"/>
      <c r="G10" s="675"/>
      <c r="H10" s="675"/>
      <c r="I10" s="675"/>
      <c r="J10" s="675"/>
      <c r="K10" s="675"/>
      <c r="L10" s="675"/>
      <c r="M10" s="677"/>
      <c r="N10" s="675"/>
      <c r="O10" s="677"/>
      <c r="P10" s="670"/>
      <c r="Q10" s="677"/>
      <c r="R10" s="675"/>
      <c r="S10" s="675"/>
      <c r="T10" s="684" t="s">
        <v>296</v>
      </c>
      <c r="U10" s="684" t="s">
        <v>297</v>
      </c>
      <c r="V10" s="676"/>
      <c r="W10" s="675"/>
      <c r="X10" s="673"/>
      <c r="Y10" s="675" t="s">
        <v>296</v>
      </c>
      <c r="Z10" s="675" t="s">
        <v>297</v>
      </c>
      <c r="AA10" s="675"/>
      <c r="AB10" s="673"/>
      <c r="AC10" s="675" t="s">
        <v>296</v>
      </c>
      <c r="AD10" s="675" t="s">
        <v>297</v>
      </c>
      <c r="AE10" s="670"/>
      <c r="AF10" s="670"/>
      <c r="AG10" s="670"/>
      <c r="AH10" s="670"/>
      <c r="AI10" s="670"/>
      <c r="AJ10" s="670"/>
      <c r="AK10" s="670"/>
      <c r="AL10" s="670"/>
      <c r="AM10" s="670"/>
      <c r="AN10" s="670"/>
      <c r="AO10" s="670"/>
      <c r="AP10" s="675"/>
      <c r="AQ10" s="674" t="s">
        <v>296</v>
      </c>
      <c r="AR10" s="674" t="s">
        <v>297</v>
      </c>
      <c r="AS10" s="676"/>
      <c r="AT10" s="670"/>
      <c r="AU10" s="670"/>
      <c r="AV10" s="670"/>
      <c r="AW10" s="675"/>
      <c r="AX10" s="674" t="s">
        <v>296</v>
      </c>
      <c r="AY10" s="674" t="s">
        <v>297</v>
      </c>
      <c r="AZ10" s="675"/>
      <c r="BA10" s="654"/>
    </row>
    <row r="11" spans="1:53" s="207" customFormat="1" ht="27.95" customHeight="1">
      <c r="A11" s="675"/>
      <c r="B11" s="675"/>
      <c r="C11" s="675"/>
      <c r="D11" s="675"/>
      <c r="E11" s="675"/>
      <c r="F11" s="675"/>
      <c r="G11" s="675"/>
      <c r="H11" s="675"/>
      <c r="I11" s="675"/>
      <c r="J11" s="675"/>
      <c r="K11" s="675"/>
      <c r="L11" s="675"/>
      <c r="M11" s="677"/>
      <c r="N11" s="675"/>
      <c r="O11" s="677"/>
      <c r="P11" s="670"/>
      <c r="Q11" s="677"/>
      <c r="R11" s="675"/>
      <c r="S11" s="675"/>
      <c r="T11" s="684"/>
      <c r="U11" s="684"/>
      <c r="V11" s="676"/>
      <c r="W11" s="675"/>
      <c r="X11" s="673"/>
      <c r="Y11" s="675"/>
      <c r="Z11" s="675"/>
      <c r="AA11" s="675"/>
      <c r="AB11" s="673"/>
      <c r="AC11" s="675"/>
      <c r="AD11" s="675"/>
      <c r="AE11" s="670"/>
      <c r="AF11" s="670"/>
      <c r="AG11" s="670"/>
      <c r="AH11" s="670"/>
      <c r="AI11" s="670"/>
      <c r="AJ11" s="670"/>
      <c r="AK11" s="670"/>
      <c r="AL11" s="670"/>
      <c r="AM11" s="670"/>
      <c r="AN11" s="670"/>
      <c r="AO11" s="670"/>
      <c r="AP11" s="675"/>
      <c r="AQ11" s="674"/>
      <c r="AR11" s="674"/>
      <c r="AS11" s="676"/>
      <c r="AT11" s="670"/>
      <c r="AU11" s="670"/>
      <c r="AV11" s="670"/>
      <c r="AW11" s="675"/>
      <c r="AX11" s="674"/>
      <c r="AY11" s="674"/>
      <c r="AZ11" s="675"/>
      <c r="BA11" s="654"/>
    </row>
    <row r="12" spans="1:53" s="207" customFormat="1" ht="40.5" customHeight="1">
      <c r="A12" s="675"/>
      <c r="B12" s="675"/>
      <c r="C12" s="675"/>
      <c r="D12" s="675"/>
      <c r="E12" s="675"/>
      <c r="F12" s="675"/>
      <c r="G12" s="675"/>
      <c r="H12" s="675"/>
      <c r="I12" s="675"/>
      <c r="J12" s="675"/>
      <c r="K12" s="675"/>
      <c r="L12" s="675"/>
      <c r="M12" s="664"/>
      <c r="N12" s="675"/>
      <c r="O12" s="664"/>
      <c r="P12" s="671"/>
      <c r="Q12" s="664"/>
      <c r="R12" s="675"/>
      <c r="S12" s="675"/>
      <c r="T12" s="684"/>
      <c r="U12" s="684"/>
      <c r="V12" s="663"/>
      <c r="W12" s="675"/>
      <c r="X12" s="673"/>
      <c r="Y12" s="675"/>
      <c r="Z12" s="675"/>
      <c r="AA12" s="675"/>
      <c r="AB12" s="673"/>
      <c r="AC12" s="675"/>
      <c r="AD12" s="675"/>
      <c r="AE12" s="671"/>
      <c r="AF12" s="671"/>
      <c r="AG12" s="671"/>
      <c r="AH12" s="671"/>
      <c r="AI12" s="671"/>
      <c r="AJ12" s="671"/>
      <c r="AK12" s="671"/>
      <c r="AL12" s="671"/>
      <c r="AM12" s="671"/>
      <c r="AN12" s="671"/>
      <c r="AO12" s="671"/>
      <c r="AP12" s="675"/>
      <c r="AQ12" s="674"/>
      <c r="AR12" s="674"/>
      <c r="AS12" s="663"/>
      <c r="AT12" s="671"/>
      <c r="AU12" s="671"/>
      <c r="AV12" s="671"/>
      <c r="AW12" s="675"/>
      <c r="AX12" s="674"/>
      <c r="AY12" s="674"/>
      <c r="AZ12" s="675"/>
      <c r="BA12" s="654"/>
    </row>
    <row r="13" spans="1:53" s="560" customFormat="1" ht="25.5" customHeight="1">
      <c r="A13" s="209">
        <v>1</v>
      </c>
      <c r="B13" s="209">
        <v>2</v>
      </c>
      <c r="C13" s="209">
        <v>3</v>
      </c>
      <c r="D13" s="209"/>
      <c r="E13" s="209"/>
      <c r="F13" s="209"/>
      <c r="G13" s="209">
        <v>4</v>
      </c>
      <c r="H13" s="209">
        <v>5</v>
      </c>
      <c r="I13" s="209">
        <v>3</v>
      </c>
      <c r="J13" s="209">
        <v>4</v>
      </c>
      <c r="K13" s="209">
        <v>5</v>
      </c>
      <c r="L13" s="209">
        <v>9</v>
      </c>
      <c r="M13" s="209">
        <v>10</v>
      </c>
      <c r="N13" s="209">
        <v>11</v>
      </c>
      <c r="O13" s="209">
        <v>12</v>
      </c>
      <c r="P13" s="209">
        <v>9</v>
      </c>
      <c r="Q13" s="209">
        <v>10</v>
      </c>
      <c r="R13" s="209">
        <v>6</v>
      </c>
      <c r="S13" s="209">
        <v>7</v>
      </c>
      <c r="T13" s="209">
        <v>8</v>
      </c>
      <c r="U13" s="209">
        <v>9</v>
      </c>
      <c r="V13" s="209"/>
      <c r="W13" s="209">
        <v>15</v>
      </c>
      <c r="X13" s="209">
        <v>16</v>
      </c>
      <c r="Y13" s="209">
        <v>19</v>
      </c>
      <c r="Z13" s="209">
        <v>20</v>
      </c>
      <c r="AA13" s="209">
        <v>17</v>
      </c>
      <c r="AB13" s="209">
        <v>18</v>
      </c>
      <c r="AC13" s="209">
        <v>19</v>
      </c>
      <c r="AD13" s="209">
        <v>20</v>
      </c>
      <c r="AE13" s="209"/>
      <c r="AF13" s="209"/>
      <c r="AG13" s="209">
        <v>10</v>
      </c>
      <c r="AH13" s="209">
        <v>11</v>
      </c>
      <c r="AI13" s="209"/>
      <c r="AJ13" s="209"/>
      <c r="AK13" s="209">
        <v>12</v>
      </c>
      <c r="AL13" s="209">
        <v>13</v>
      </c>
      <c r="AM13" s="209">
        <v>14</v>
      </c>
      <c r="AN13" s="209">
        <v>15</v>
      </c>
      <c r="AO13" s="209">
        <v>16</v>
      </c>
      <c r="AP13" s="209">
        <v>17</v>
      </c>
      <c r="AQ13" s="209">
        <v>18</v>
      </c>
      <c r="AR13" s="209">
        <v>19</v>
      </c>
      <c r="AS13" s="209"/>
      <c r="AT13" s="209"/>
      <c r="AU13" s="209"/>
      <c r="AV13" s="209"/>
      <c r="AW13" s="209"/>
      <c r="AX13" s="209"/>
      <c r="AY13" s="209"/>
      <c r="AZ13" s="209"/>
    </row>
    <row r="14" spans="1:53" s="560" customFormat="1" ht="25.5" hidden="1" customHeight="1">
      <c r="A14" s="209"/>
      <c r="B14" s="209"/>
      <c r="C14" s="209"/>
      <c r="D14" s="209"/>
      <c r="E14" s="209"/>
      <c r="F14" s="209"/>
      <c r="G14" s="209"/>
      <c r="H14" s="209"/>
      <c r="I14" s="211"/>
      <c r="J14" s="212"/>
      <c r="K14" s="212"/>
      <c r="L14" s="212"/>
      <c r="M14" s="212"/>
      <c r="N14" s="212"/>
      <c r="O14" s="212"/>
      <c r="P14" s="212"/>
      <c r="Q14" s="212"/>
      <c r="R14" s="212"/>
      <c r="S14" s="212"/>
      <c r="T14" s="212"/>
      <c r="U14" s="212"/>
      <c r="V14" s="212"/>
      <c r="W14" s="212"/>
      <c r="X14" s="212"/>
      <c r="Y14" s="212"/>
      <c r="Z14" s="212"/>
      <c r="AA14" s="212">
        <f>AB15+AB434</f>
        <v>243766</v>
      </c>
      <c r="AB14" s="212">
        <f>AA14+AB457+AB455</f>
        <v>395834</v>
      </c>
      <c r="AC14" s="212"/>
      <c r="AD14" s="212">
        <f>AB16-AB14</f>
        <v>294671</v>
      </c>
      <c r="AE14" s="212">
        <v>3585.9872909999999</v>
      </c>
      <c r="AF14" s="212"/>
      <c r="AG14" s="212"/>
      <c r="AH14" s="212"/>
      <c r="AI14" s="212"/>
      <c r="AJ14" s="212"/>
      <c r="AK14" s="212"/>
      <c r="AL14" s="212"/>
      <c r="AM14" s="212"/>
      <c r="AN14" s="212"/>
      <c r="AO14" s="212">
        <f>AB15*1.1</f>
        <v>268142.60000000003</v>
      </c>
      <c r="AP14" s="212"/>
      <c r="AQ14" s="212"/>
      <c r="AR14" s="212"/>
      <c r="AS14" s="212"/>
      <c r="AT14" s="212"/>
      <c r="AU14" s="212"/>
      <c r="AV14" s="212"/>
      <c r="AW14" s="212"/>
      <c r="AX14" s="212"/>
      <c r="AY14" s="212"/>
      <c r="AZ14" s="209"/>
    </row>
    <row r="15" spans="1:53" s="560" customFormat="1" ht="25.5" hidden="1" customHeight="1">
      <c r="A15" s="209"/>
      <c r="B15" s="209"/>
      <c r="C15" s="209"/>
      <c r="D15" s="209"/>
      <c r="E15" s="209"/>
      <c r="F15" s="209"/>
      <c r="G15" s="209"/>
      <c r="H15" s="209"/>
      <c r="I15" s="211"/>
      <c r="J15" s="212"/>
      <c r="K15" s="212"/>
      <c r="L15" s="212"/>
      <c r="M15" s="212"/>
      <c r="N15" s="212"/>
      <c r="O15" s="212"/>
      <c r="P15" s="212"/>
      <c r="Q15" s="212"/>
      <c r="R15" s="212"/>
      <c r="S15" s="212"/>
      <c r="T15" s="212"/>
      <c r="U15" s="212"/>
      <c r="V15" s="212"/>
      <c r="W15" s="212"/>
      <c r="X15" s="212"/>
      <c r="Y15" s="212"/>
      <c r="Z15" s="212"/>
      <c r="AA15" s="212"/>
      <c r="AB15" s="212">
        <f>AB60+AB84+AB117+AB137+AB161+AB180+AB203+AB233+AB259+AB284+AB297+AB327+AB332+AB358+AB398+AB415</f>
        <v>243766</v>
      </c>
      <c r="AC15" s="212"/>
      <c r="AD15" s="212"/>
      <c r="AE15" s="212">
        <f>AE60+AE84+AE117+AE137+AE161+AE180+AE203+AE233+AE259+AE284+AE297+AE327+AE332+AE358+AE398+AE415+AE457</f>
        <v>62916.157263000001</v>
      </c>
      <c r="AF15" s="212">
        <f>AF60+AF84+AF117+AF137+AF161+AF180+AF203+AF233+AF259+AF284+AF297+AF327+AF332+AF358+AF398+AF415+AF457</f>
        <v>120233.213611</v>
      </c>
      <c r="AG15" s="212"/>
      <c r="AH15" s="212"/>
      <c r="AI15" s="212"/>
      <c r="AJ15" s="212"/>
      <c r="AK15" s="212"/>
      <c r="AL15" s="212"/>
      <c r="AM15" s="212"/>
      <c r="AN15" s="212"/>
      <c r="AO15" s="212">
        <f>AO60+AO84+AO117+AO137+AO161+AO180+AO203+AO233+AO259+AO284+AO297+AO327+AO332+AO358+AO398+AO415</f>
        <v>445282</v>
      </c>
      <c r="AP15" s="212">
        <f>AP60+AP84+AP117+AP137+AP161+AP180+AP203+AP233+AP259+AP284+AP297+AP327+AP332+AP358+AP398+AP415</f>
        <v>416665</v>
      </c>
      <c r="AQ15" s="212">
        <f>AQ60+AQ84+AQ117+AQ137+AQ161+AQ180+AQ203+AQ233+AQ259+AQ284+AQ297+AQ327+AQ332+AQ358+AQ398+AQ415</f>
        <v>1000</v>
      </c>
      <c r="AR15" s="212">
        <f>AR60+AR84+AR117+AR137+AR161+AR180+AR203+AR233+AR259+AR284+AR297+AR327+AR332+AR358+AR398+AR415</f>
        <v>0</v>
      </c>
      <c r="AS15" s="212"/>
      <c r="AT15" s="212"/>
      <c r="AU15" s="212"/>
      <c r="AV15" s="212"/>
      <c r="AW15" s="212"/>
      <c r="AX15" s="212"/>
      <c r="AY15" s="212"/>
      <c r="AZ15" s="209"/>
    </row>
    <row r="16" spans="1:53" s="216" customFormat="1" ht="23.25" hidden="1" customHeight="1">
      <c r="A16" s="213" t="s">
        <v>73</v>
      </c>
      <c r="B16" s="214" t="s">
        <v>298</v>
      </c>
      <c r="C16" s="209"/>
      <c r="D16" s="209"/>
      <c r="E16" s="209"/>
      <c r="F16" s="209"/>
      <c r="G16" s="209"/>
      <c r="H16" s="209"/>
      <c r="I16" s="211"/>
      <c r="J16" s="212"/>
      <c r="K16" s="212"/>
      <c r="L16" s="212"/>
      <c r="M16" s="212"/>
      <c r="N16" s="212"/>
      <c r="O16" s="212"/>
      <c r="P16" s="212"/>
      <c r="Q16" s="212"/>
      <c r="R16" s="215"/>
      <c r="S16" s="215">
        <f>S17+S27</f>
        <v>3569492</v>
      </c>
      <c r="T16" s="215"/>
      <c r="U16" s="215"/>
      <c r="V16" s="215"/>
      <c r="W16" s="215"/>
      <c r="X16" s="215">
        <f>X17+X27</f>
        <v>627050</v>
      </c>
      <c r="Y16" s="215"/>
      <c r="Z16" s="215"/>
      <c r="AA16" s="215"/>
      <c r="AB16" s="215">
        <f>AB17+AB23</f>
        <v>690505</v>
      </c>
      <c r="AC16" s="215"/>
      <c r="AD16" s="215"/>
      <c r="AE16" s="215">
        <f>AE17+AE23</f>
        <v>0</v>
      </c>
      <c r="AF16" s="215">
        <f>AF17+AF23</f>
        <v>0</v>
      </c>
      <c r="AG16" s="215">
        <f>W16+AA16</f>
        <v>0</v>
      </c>
      <c r="AH16" s="215">
        <f>X16+AB16</f>
        <v>1317555</v>
      </c>
      <c r="AI16" s="215"/>
      <c r="AJ16" s="215"/>
      <c r="AK16" s="215"/>
      <c r="AL16" s="215"/>
      <c r="AM16" s="215"/>
      <c r="AN16" s="215"/>
      <c r="AO16" s="215"/>
      <c r="AP16" s="215"/>
      <c r="AQ16" s="215"/>
      <c r="AR16" s="215"/>
      <c r="AS16" s="215"/>
      <c r="AT16" s="215"/>
      <c r="AU16" s="215"/>
      <c r="AV16" s="215"/>
      <c r="AW16" s="215"/>
      <c r="AX16" s="215"/>
      <c r="AY16" s="215"/>
      <c r="AZ16" s="209">
        <f>AB16-AZ17</f>
        <v>-363355</v>
      </c>
    </row>
    <row r="17" spans="1:52" s="218" customFormat="1" ht="26.25" hidden="1" customHeight="1">
      <c r="A17" s="213" t="s">
        <v>299</v>
      </c>
      <c r="B17" s="214" t="s">
        <v>300</v>
      </c>
      <c r="C17" s="213"/>
      <c r="D17" s="213"/>
      <c r="E17" s="213"/>
      <c r="F17" s="213"/>
      <c r="G17" s="213"/>
      <c r="H17" s="213"/>
      <c r="I17" s="217"/>
      <c r="J17" s="215"/>
      <c r="K17" s="215"/>
      <c r="L17" s="215"/>
      <c r="M17" s="215"/>
      <c r="N17" s="215"/>
      <c r="O17" s="215"/>
      <c r="P17" s="215"/>
      <c r="Q17" s="215"/>
      <c r="R17" s="215"/>
      <c r="S17" s="215">
        <f>S18+S21+S22</f>
        <v>3569492</v>
      </c>
      <c r="T17" s="215"/>
      <c r="U17" s="215"/>
      <c r="V17" s="215"/>
      <c r="W17" s="215"/>
      <c r="X17" s="215">
        <f>X18+X21+X22</f>
        <v>627050</v>
      </c>
      <c r="Y17" s="215"/>
      <c r="Z17" s="215"/>
      <c r="AA17" s="215"/>
      <c r="AB17" s="215">
        <f>AB18+AB21+AB22</f>
        <v>538437</v>
      </c>
      <c r="AC17" s="215">
        <f>AC18+AC21+AC22</f>
        <v>0</v>
      </c>
      <c r="AD17" s="215">
        <f>AD18+AD21+AD22</f>
        <v>0</v>
      </c>
      <c r="AE17" s="215">
        <f>AE18+AE21+AE22</f>
        <v>0</v>
      </c>
      <c r="AF17" s="215">
        <f>AF18+AF21+AF22</f>
        <v>0</v>
      </c>
      <c r="AG17" s="215">
        <f t="shared" ref="AG17:AG73" si="0">W17+AA17</f>
        <v>0</v>
      </c>
      <c r="AH17" s="215">
        <f t="shared" ref="AH17:AH73" si="1">X17+AB17</f>
        <v>1165487</v>
      </c>
      <c r="AI17" s="215"/>
      <c r="AJ17" s="215"/>
      <c r="AK17" s="215"/>
      <c r="AL17" s="215"/>
      <c r="AM17" s="215"/>
      <c r="AN17" s="215"/>
      <c r="AO17" s="215"/>
      <c r="AP17" s="215">
        <f>AP15-12000</f>
        <v>404665</v>
      </c>
      <c r="AQ17" s="215"/>
      <c r="AR17" s="215"/>
      <c r="AS17" s="215"/>
      <c r="AT17" s="215"/>
      <c r="AU17" s="215"/>
      <c r="AV17" s="215"/>
      <c r="AW17" s="215"/>
      <c r="AX17" s="215"/>
      <c r="AY17" s="215"/>
      <c r="AZ17" s="213">
        <f>AZ18+AZ21+AZ22</f>
        <v>1053860</v>
      </c>
    </row>
    <row r="18" spans="1:52" s="218" customFormat="1" ht="34.5" hidden="1" customHeight="1">
      <c r="A18" s="213" t="s">
        <v>301</v>
      </c>
      <c r="B18" s="219" t="s">
        <v>302</v>
      </c>
      <c r="C18" s="213"/>
      <c r="D18" s="213"/>
      <c r="E18" s="213"/>
      <c r="F18" s="213"/>
      <c r="G18" s="213"/>
      <c r="H18" s="213"/>
      <c r="I18" s="217"/>
      <c r="J18" s="215"/>
      <c r="K18" s="215"/>
      <c r="L18" s="215"/>
      <c r="M18" s="215"/>
      <c r="N18" s="215"/>
      <c r="O18" s="215"/>
      <c r="P18" s="215"/>
      <c r="Q18" s="215"/>
      <c r="R18" s="215"/>
      <c r="S18" s="215">
        <f>S19+S20</f>
        <v>3309392</v>
      </c>
      <c r="T18" s="215"/>
      <c r="U18" s="215"/>
      <c r="V18" s="215"/>
      <c r="W18" s="215"/>
      <c r="X18" s="215">
        <f>X19+X20</f>
        <v>602300</v>
      </c>
      <c r="Y18" s="215"/>
      <c r="Z18" s="215"/>
      <c r="AA18" s="215"/>
      <c r="AB18" s="215">
        <f>AB19+AB20</f>
        <v>510462</v>
      </c>
      <c r="AC18" s="215">
        <f>AC19+AC20</f>
        <v>0</v>
      </c>
      <c r="AD18" s="215">
        <f>AD19+AD20</f>
        <v>0</v>
      </c>
      <c r="AE18" s="215">
        <f>AE19+AE20</f>
        <v>0</v>
      </c>
      <c r="AF18" s="215">
        <f>AF19+AF20</f>
        <v>0</v>
      </c>
      <c r="AG18" s="215">
        <f t="shared" si="0"/>
        <v>0</v>
      </c>
      <c r="AH18" s="215">
        <f t="shared" si="1"/>
        <v>1112762</v>
      </c>
      <c r="AI18" s="215"/>
      <c r="AJ18" s="215"/>
      <c r="AK18" s="215"/>
      <c r="AL18" s="215"/>
      <c r="AM18" s="215"/>
      <c r="AN18" s="215"/>
      <c r="AO18" s="215"/>
      <c r="AP18" s="215"/>
      <c r="AQ18" s="215"/>
      <c r="AR18" s="215"/>
      <c r="AS18" s="215"/>
      <c r="AT18" s="215"/>
      <c r="AU18" s="215"/>
      <c r="AV18" s="215"/>
      <c r="AW18" s="215"/>
      <c r="AX18" s="215"/>
      <c r="AY18" s="215"/>
      <c r="AZ18" s="213">
        <f>AZ19+AZ20</f>
        <v>976860</v>
      </c>
    </row>
    <row r="19" spans="1:52" s="206" customFormat="1" ht="36.75" hidden="1" customHeight="1">
      <c r="A19" s="220"/>
      <c r="B19" s="221" t="s">
        <v>303</v>
      </c>
      <c r="C19" s="220"/>
      <c r="D19" s="220"/>
      <c r="E19" s="220"/>
      <c r="F19" s="220"/>
      <c r="G19" s="220"/>
      <c r="H19" s="220"/>
      <c r="I19" s="222"/>
      <c r="J19" s="223"/>
      <c r="K19" s="223"/>
      <c r="L19" s="223"/>
      <c r="M19" s="223"/>
      <c r="N19" s="223"/>
      <c r="O19" s="223"/>
      <c r="P19" s="223"/>
      <c r="Q19" s="223"/>
      <c r="R19" s="223"/>
      <c r="S19" s="223">
        <v>3309392</v>
      </c>
      <c r="T19" s="223"/>
      <c r="U19" s="223"/>
      <c r="V19" s="223"/>
      <c r="W19" s="223"/>
      <c r="X19" s="223">
        <v>602300</v>
      </c>
      <c r="Y19" s="223"/>
      <c r="Z19" s="223"/>
      <c r="AA19" s="223"/>
      <c r="AB19" s="223">
        <v>488430</v>
      </c>
      <c r="AC19" s="223"/>
      <c r="AD19" s="223"/>
      <c r="AE19" s="223"/>
      <c r="AF19" s="223"/>
      <c r="AG19" s="215">
        <f t="shared" si="0"/>
        <v>0</v>
      </c>
      <c r="AH19" s="215">
        <f t="shared" si="1"/>
        <v>1090730</v>
      </c>
      <c r="AI19" s="215"/>
      <c r="AJ19" s="215"/>
      <c r="AK19" s="215"/>
      <c r="AL19" s="215"/>
      <c r="AM19" s="215"/>
      <c r="AN19" s="215"/>
      <c r="AO19" s="223"/>
      <c r="AP19" s="223"/>
      <c r="AQ19" s="223"/>
      <c r="AR19" s="223"/>
      <c r="AS19" s="223"/>
      <c r="AT19" s="223"/>
      <c r="AU19" s="223"/>
      <c r="AV19" s="223"/>
      <c r="AW19" s="223"/>
      <c r="AX19" s="223"/>
      <c r="AY19" s="223"/>
      <c r="AZ19" s="220">
        <f>AB19</f>
        <v>488430</v>
      </c>
    </row>
    <row r="20" spans="1:52" s="206" customFormat="1" ht="37.5" hidden="1" customHeight="1">
      <c r="A20" s="220"/>
      <c r="B20" s="221" t="s">
        <v>304</v>
      </c>
      <c r="C20" s="220"/>
      <c r="D20" s="220"/>
      <c r="E20" s="220"/>
      <c r="F20" s="220"/>
      <c r="G20" s="220"/>
      <c r="H20" s="220"/>
      <c r="I20" s="222"/>
      <c r="J20" s="223"/>
      <c r="K20" s="223"/>
      <c r="L20" s="223"/>
      <c r="M20" s="223"/>
      <c r="N20" s="223"/>
      <c r="O20" s="223"/>
      <c r="P20" s="223"/>
      <c r="Q20" s="223"/>
      <c r="R20" s="223"/>
      <c r="S20" s="223"/>
      <c r="T20" s="223"/>
      <c r="U20" s="223"/>
      <c r="V20" s="223"/>
      <c r="W20" s="223"/>
      <c r="X20" s="223"/>
      <c r="Y20" s="223"/>
      <c r="Z20" s="223"/>
      <c r="AA20" s="223"/>
      <c r="AB20" s="223">
        <v>22032</v>
      </c>
      <c r="AC20" s="223"/>
      <c r="AD20" s="223"/>
      <c r="AE20" s="223"/>
      <c r="AF20" s="223"/>
      <c r="AG20" s="215">
        <f t="shared" si="0"/>
        <v>0</v>
      </c>
      <c r="AH20" s="215">
        <f t="shared" si="1"/>
        <v>22032</v>
      </c>
      <c r="AI20" s="215"/>
      <c r="AJ20" s="215"/>
      <c r="AK20" s="215"/>
      <c r="AL20" s="215"/>
      <c r="AM20" s="215"/>
      <c r="AN20" s="215"/>
      <c r="AO20" s="223"/>
      <c r="AP20" s="223"/>
      <c r="AQ20" s="223"/>
      <c r="AR20" s="223"/>
      <c r="AS20" s="223"/>
      <c r="AT20" s="223"/>
      <c r="AU20" s="223"/>
      <c r="AV20" s="223"/>
      <c r="AW20" s="223"/>
      <c r="AX20" s="223"/>
      <c r="AY20" s="223"/>
      <c r="AZ20" s="220">
        <v>488430</v>
      </c>
    </row>
    <row r="21" spans="1:52" s="216" customFormat="1" ht="31.5" hidden="1" customHeight="1">
      <c r="A21" s="209" t="s">
        <v>305</v>
      </c>
      <c r="B21" s="219" t="s">
        <v>306</v>
      </c>
      <c r="C21" s="209"/>
      <c r="D21" s="209"/>
      <c r="E21" s="209"/>
      <c r="F21" s="209"/>
      <c r="G21" s="209"/>
      <c r="H21" s="209"/>
      <c r="I21" s="211"/>
      <c r="J21" s="212"/>
      <c r="K21" s="212"/>
      <c r="L21" s="212"/>
      <c r="M21" s="212"/>
      <c r="N21" s="212"/>
      <c r="O21" s="212"/>
      <c r="P21" s="212"/>
      <c r="Q21" s="212"/>
      <c r="R21" s="212"/>
      <c r="S21" s="212">
        <v>150300</v>
      </c>
      <c r="T21" s="212"/>
      <c r="U21" s="212"/>
      <c r="V21" s="212"/>
      <c r="W21" s="212"/>
      <c r="X21" s="212">
        <v>13750</v>
      </c>
      <c r="Y21" s="212"/>
      <c r="Z21" s="212"/>
      <c r="AA21" s="212"/>
      <c r="AB21" s="212">
        <v>10975</v>
      </c>
      <c r="AC21" s="212"/>
      <c r="AD21" s="212"/>
      <c r="AE21" s="212"/>
      <c r="AF21" s="212"/>
      <c r="AG21" s="215">
        <f t="shared" si="0"/>
        <v>0</v>
      </c>
      <c r="AH21" s="215">
        <f t="shared" si="1"/>
        <v>24725</v>
      </c>
      <c r="AI21" s="215"/>
      <c r="AJ21" s="215"/>
      <c r="AK21" s="215"/>
      <c r="AL21" s="215"/>
      <c r="AM21" s="215"/>
      <c r="AN21" s="215"/>
      <c r="AO21" s="212"/>
      <c r="AP21" s="212"/>
      <c r="AQ21" s="212"/>
      <c r="AR21" s="212"/>
      <c r="AS21" s="212"/>
      <c r="AT21" s="212"/>
      <c r="AU21" s="212"/>
      <c r="AV21" s="212"/>
      <c r="AW21" s="212"/>
      <c r="AX21" s="212"/>
      <c r="AY21" s="212"/>
      <c r="AZ21" s="209">
        <v>60000</v>
      </c>
    </row>
    <row r="22" spans="1:52" s="216" customFormat="1" ht="26.25" hidden="1" customHeight="1">
      <c r="A22" s="209" t="s">
        <v>307</v>
      </c>
      <c r="B22" s="219" t="s">
        <v>308</v>
      </c>
      <c r="C22" s="209"/>
      <c r="D22" s="209"/>
      <c r="E22" s="209"/>
      <c r="F22" s="209"/>
      <c r="G22" s="209"/>
      <c r="H22" s="209"/>
      <c r="I22" s="211"/>
      <c r="J22" s="212"/>
      <c r="K22" s="212"/>
      <c r="L22" s="212"/>
      <c r="M22" s="212"/>
      <c r="N22" s="212"/>
      <c r="O22" s="212"/>
      <c r="P22" s="212"/>
      <c r="Q22" s="212"/>
      <c r="R22" s="212"/>
      <c r="S22" s="212">
        <v>109800</v>
      </c>
      <c r="T22" s="212"/>
      <c r="U22" s="212"/>
      <c r="V22" s="212"/>
      <c r="W22" s="212"/>
      <c r="X22" s="212">
        <v>11000</v>
      </c>
      <c r="Y22" s="212"/>
      <c r="Z22" s="212"/>
      <c r="AA22" s="212"/>
      <c r="AB22" s="212">
        <v>17000</v>
      </c>
      <c r="AC22" s="212"/>
      <c r="AD22" s="212"/>
      <c r="AE22" s="212"/>
      <c r="AF22" s="212"/>
      <c r="AG22" s="215">
        <f t="shared" si="0"/>
        <v>0</v>
      </c>
      <c r="AH22" s="215">
        <f t="shared" si="1"/>
        <v>28000</v>
      </c>
      <c r="AI22" s="215"/>
      <c r="AJ22" s="215"/>
      <c r="AK22" s="215"/>
      <c r="AL22" s="215"/>
      <c r="AM22" s="215"/>
      <c r="AN22" s="215"/>
      <c r="AO22" s="212"/>
      <c r="AP22" s="212"/>
      <c r="AQ22" s="212"/>
      <c r="AR22" s="212"/>
      <c r="AS22" s="212"/>
      <c r="AT22" s="212"/>
      <c r="AU22" s="212"/>
      <c r="AV22" s="212"/>
      <c r="AW22" s="212"/>
      <c r="AX22" s="212"/>
      <c r="AY22" s="212"/>
      <c r="AZ22" s="225">
        <v>17000</v>
      </c>
    </row>
    <row r="23" spans="1:52" s="218" customFormat="1" ht="54.75" hidden="1" customHeight="1">
      <c r="A23" s="213" t="s">
        <v>309</v>
      </c>
      <c r="B23" s="214" t="s">
        <v>310</v>
      </c>
      <c r="C23" s="213"/>
      <c r="D23" s="213"/>
      <c r="E23" s="213"/>
      <c r="F23" s="213"/>
      <c r="G23" s="213"/>
      <c r="H23" s="213"/>
      <c r="I23" s="217"/>
      <c r="J23" s="215"/>
      <c r="K23" s="215"/>
      <c r="L23" s="215"/>
      <c r="M23" s="215" t="s">
        <v>311</v>
      </c>
      <c r="N23" s="215"/>
      <c r="O23" s="215"/>
      <c r="P23" s="215"/>
      <c r="Q23" s="215"/>
      <c r="R23" s="215"/>
      <c r="S23" s="215"/>
      <c r="T23" s="215"/>
      <c r="U23" s="215"/>
      <c r="V23" s="215"/>
      <c r="W23" s="215"/>
      <c r="X23" s="215"/>
      <c r="Y23" s="215"/>
      <c r="Z23" s="215"/>
      <c r="AA23" s="215"/>
      <c r="AB23" s="215">
        <f>AB24+AB25+AB26</f>
        <v>152068</v>
      </c>
      <c r="AC23" s="215"/>
      <c r="AD23" s="215"/>
      <c r="AE23" s="215"/>
      <c r="AF23" s="215"/>
      <c r="AG23" s="215">
        <f t="shared" si="0"/>
        <v>0</v>
      </c>
      <c r="AH23" s="215">
        <f t="shared" si="1"/>
        <v>152068</v>
      </c>
      <c r="AI23" s="215"/>
      <c r="AJ23" s="215"/>
      <c r="AK23" s="215"/>
      <c r="AL23" s="215"/>
      <c r="AM23" s="215"/>
      <c r="AN23" s="215"/>
      <c r="AO23" s="215"/>
      <c r="AP23" s="215"/>
      <c r="AQ23" s="215"/>
      <c r="AR23" s="215"/>
      <c r="AS23" s="215"/>
      <c r="AT23" s="215"/>
      <c r="AU23" s="215"/>
      <c r="AV23" s="215"/>
      <c r="AW23" s="215"/>
      <c r="AX23" s="215"/>
      <c r="AY23" s="215"/>
      <c r="AZ23" s="225" t="s">
        <v>312</v>
      </c>
    </row>
    <row r="24" spans="1:52" s="216" customFormat="1" ht="31.5" hidden="1" customHeight="1">
      <c r="A24" s="209">
        <v>1</v>
      </c>
      <c r="B24" s="219" t="s">
        <v>313</v>
      </c>
      <c r="C24" s="209"/>
      <c r="D24" s="209"/>
      <c r="E24" s="209"/>
      <c r="F24" s="209"/>
      <c r="G24" s="209"/>
      <c r="H24" s="209"/>
      <c r="I24" s="211"/>
      <c r="J24" s="212"/>
      <c r="K24" s="212"/>
      <c r="L24" s="212"/>
      <c r="M24" s="212"/>
      <c r="N24" s="212"/>
      <c r="O24" s="212"/>
      <c r="P24" s="212"/>
      <c r="Q24" s="212"/>
      <c r="R24" s="212"/>
      <c r="S24" s="212"/>
      <c r="T24" s="212"/>
      <c r="U24" s="212"/>
      <c r="V24" s="212"/>
      <c r="W24" s="212"/>
      <c r="X24" s="212"/>
      <c r="Y24" s="212"/>
      <c r="Z24" s="212"/>
      <c r="AA24" s="212"/>
      <c r="AB24" s="212">
        <v>174100</v>
      </c>
      <c r="AC24" s="212"/>
      <c r="AD24" s="212"/>
      <c r="AE24" s="212"/>
      <c r="AF24" s="212"/>
      <c r="AG24" s="215">
        <f t="shared" si="0"/>
        <v>0</v>
      </c>
      <c r="AH24" s="215">
        <f t="shared" si="1"/>
        <v>174100</v>
      </c>
      <c r="AI24" s="215"/>
      <c r="AJ24" s="215"/>
      <c r="AK24" s="215"/>
      <c r="AL24" s="215"/>
      <c r="AM24" s="215"/>
      <c r="AN24" s="215"/>
      <c r="AO24" s="212"/>
      <c r="AP24" s="212"/>
      <c r="AQ24" s="212"/>
      <c r="AR24" s="212"/>
      <c r="AS24" s="212"/>
      <c r="AT24" s="212"/>
      <c r="AU24" s="212"/>
      <c r="AV24" s="212"/>
      <c r="AW24" s="212"/>
      <c r="AX24" s="212"/>
      <c r="AY24" s="212"/>
      <c r="AZ24" s="209"/>
    </row>
    <row r="25" spans="1:52" s="216" customFormat="1" ht="31.5" hidden="1" customHeight="1">
      <c r="A25" s="209">
        <v>2</v>
      </c>
      <c r="B25" s="226" t="s">
        <v>314</v>
      </c>
      <c r="C25" s="209"/>
      <c r="D25" s="209"/>
      <c r="E25" s="209"/>
      <c r="F25" s="209"/>
      <c r="G25" s="209"/>
      <c r="H25" s="209"/>
      <c r="I25" s="211"/>
      <c r="J25" s="212"/>
      <c r="K25" s="212"/>
      <c r="L25" s="212"/>
      <c r="M25" s="212"/>
      <c r="N25" s="212"/>
      <c r="O25" s="212"/>
      <c r="P25" s="212"/>
      <c r="Q25" s="212"/>
      <c r="R25" s="212"/>
      <c r="S25" s="212"/>
      <c r="T25" s="212"/>
      <c r="U25" s="212"/>
      <c r="V25" s="212"/>
      <c r="W25" s="212"/>
      <c r="X25" s="212"/>
      <c r="Y25" s="212"/>
      <c r="Z25" s="212"/>
      <c r="AA25" s="212"/>
      <c r="AB25" s="212">
        <v>20390</v>
      </c>
      <c r="AC25" s="212"/>
      <c r="AD25" s="212"/>
      <c r="AE25" s="212"/>
      <c r="AF25" s="212"/>
      <c r="AG25" s="215">
        <f t="shared" si="0"/>
        <v>0</v>
      </c>
      <c r="AH25" s="215">
        <f t="shared" si="1"/>
        <v>20390</v>
      </c>
      <c r="AI25" s="215"/>
      <c r="AJ25" s="215"/>
      <c r="AK25" s="215"/>
      <c r="AL25" s="215"/>
      <c r="AM25" s="215"/>
      <c r="AN25" s="215"/>
      <c r="AO25" s="212"/>
      <c r="AP25" s="212"/>
      <c r="AQ25" s="212"/>
      <c r="AR25" s="212"/>
      <c r="AS25" s="212"/>
      <c r="AT25" s="212"/>
      <c r="AU25" s="212"/>
      <c r="AV25" s="212"/>
      <c r="AW25" s="212"/>
      <c r="AX25" s="212"/>
      <c r="AY25" s="212"/>
      <c r="AZ25" s="209"/>
    </row>
    <row r="26" spans="1:52" s="216" customFormat="1" ht="38.25" hidden="1" customHeight="1">
      <c r="A26" s="209">
        <v>3</v>
      </c>
      <c r="B26" s="219" t="s">
        <v>315</v>
      </c>
      <c r="C26" s="209"/>
      <c r="D26" s="209"/>
      <c r="E26" s="209"/>
      <c r="F26" s="209"/>
      <c r="G26" s="209"/>
      <c r="H26" s="209"/>
      <c r="I26" s="211"/>
      <c r="J26" s="212"/>
      <c r="K26" s="212"/>
      <c r="L26" s="212"/>
      <c r="M26" s="212"/>
      <c r="N26" s="212"/>
      <c r="O26" s="212"/>
      <c r="P26" s="212"/>
      <c r="Q26" s="212"/>
      <c r="R26" s="212"/>
      <c r="S26" s="212"/>
      <c r="T26" s="212"/>
      <c r="U26" s="212"/>
      <c r="V26" s="212"/>
      <c r="W26" s="212"/>
      <c r="X26" s="212"/>
      <c r="Y26" s="212"/>
      <c r="Z26" s="212"/>
      <c r="AA26" s="212"/>
      <c r="AB26" s="212">
        <f>-22032-20390</f>
        <v>-42422</v>
      </c>
      <c r="AC26" s="212">
        <f>AB18+AB21+AB22</f>
        <v>538437</v>
      </c>
      <c r="AD26" s="212">
        <f>AC26-AB28</f>
        <v>294671</v>
      </c>
      <c r="AE26" s="212"/>
      <c r="AF26" s="212"/>
      <c r="AG26" s="215">
        <f t="shared" si="0"/>
        <v>0</v>
      </c>
      <c r="AH26" s="215">
        <f t="shared" si="1"/>
        <v>-42422</v>
      </c>
      <c r="AI26" s="215"/>
      <c r="AJ26" s="215"/>
      <c r="AK26" s="215"/>
      <c r="AL26" s="215"/>
      <c r="AM26" s="215"/>
      <c r="AN26" s="215"/>
      <c r="AO26" s="212"/>
      <c r="AP26" s="212"/>
      <c r="AQ26" s="212"/>
      <c r="AR26" s="212"/>
      <c r="AS26" s="212"/>
      <c r="AT26" s="212"/>
      <c r="AU26" s="212"/>
      <c r="AV26" s="212"/>
      <c r="AW26" s="212"/>
      <c r="AX26" s="212"/>
      <c r="AY26" s="212"/>
      <c r="AZ26" s="209"/>
    </row>
    <row r="27" spans="1:52" s="218" customFormat="1" ht="26.25" hidden="1" customHeight="1">
      <c r="A27" s="213"/>
      <c r="B27" s="214"/>
      <c r="C27" s="213"/>
      <c r="D27" s="213"/>
      <c r="E27" s="213"/>
      <c r="F27" s="213"/>
      <c r="G27" s="213"/>
      <c r="H27" s="213"/>
      <c r="I27" s="217"/>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f t="shared" si="0"/>
        <v>0</v>
      </c>
      <c r="AH27" s="215">
        <f t="shared" si="1"/>
        <v>0</v>
      </c>
      <c r="AI27" s="215"/>
      <c r="AJ27" s="215"/>
      <c r="AK27" s="215"/>
      <c r="AL27" s="215"/>
      <c r="AM27" s="215"/>
      <c r="AN27" s="215"/>
      <c r="AO27" s="215"/>
      <c r="AP27" s="215"/>
      <c r="AQ27" s="215"/>
      <c r="AR27" s="215"/>
      <c r="AS27" s="215"/>
      <c r="AT27" s="215"/>
      <c r="AU27" s="215"/>
      <c r="AV27" s="215"/>
      <c r="AW27" s="215"/>
      <c r="AX27" s="215"/>
      <c r="AY27" s="215"/>
      <c r="AZ27" s="225"/>
    </row>
    <row r="28" spans="1:52" s="218" customFormat="1" ht="26.25" hidden="1" customHeight="1">
      <c r="A28" s="213" t="s">
        <v>82</v>
      </c>
      <c r="B28" s="214" t="s">
        <v>316</v>
      </c>
      <c r="C28" s="213"/>
      <c r="D28" s="213"/>
      <c r="E28" s="213"/>
      <c r="F28" s="213"/>
      <c r="G28" s="213"/>
      <c r="H28" s="213"/>
      <c r="I28" s="217"/>
      <c r="J28" s="215">
        <f t="shared" ref="J28:O28" si="2">J30+J434</f>
        <v>7571418.2999999998</v>
      </c>
      <c r="K28" s="215">
        <f t="shared" si="2"/>
        <v>2490428.5</v>
      </c>
      <c r="L28" s="215">
        <f t="shared" si="2"/>
        <v>806752.69</v>
      </c>
      <c r="M28" s="215">
        <f t="shared" si="2"/>
        <v>25655</v>
      </c>
      <c r="N28" s="215">
        <f t="shared" si="2"/>
        <v>319043</v>
      </c>
      <c r="O28" s="215">
        <f t="shared" si="2"/>
        <v>106234</v>
      </c>
      <c r="P28" s="215"/>
      <c r="Q28" s="215"/>
      <c r="R28" s="215">
        <f>R30+R434</f>
        <v>3720928</v>
      </c>
      <c r="S28" s="215">
        <f>S30+S434</f>
        <v>2380026.7000000002</v>
      </c>
      <c r="T28" s="215">
        <f>T30+T434</f>
        <v>0</v>
      </c>
      <c r="U28" s="215">
        <f>U30+U434</f>
        <v>6850</v>
      </c>
      <c r="V28" s="215"/>
      <c r="W28" s="215">
        <f t="shared" ref="W28:AF28" si="3">W30+W434</f>
        <v>220682.5</v>
      </c>
      <c r="X28" s="215">
        <f t="shared" si="3"/>
        <v>171999.5</v>
      </c>
      <c r="Y28" s="215">
        <f t="shared" si="3"/>
        <v>0</v>
      </c>
      <c r="Z28" s="215">
        <f t="shared" si="3"/>
        <v>6850</v>
      </c>
      <c r="AA28" s="215">
        <f t="shared" si="3"/>
        <v>313988</v>
      </c>
      <c r="AB28" s="215">
        <f t="shared" si="3"/>
        <v>243766</v>
      </c>
      <c r="AC28" s="215">
        <f t="shared" si="3"/>
        <v>1000</v>
      </c>
      <c r="AD28" s="215">
        <f t="shared" si="3"/>
        <v>0</v>
      </c>
      <c r="AE28" s="215">
        <f t="shared" si="3"/>
        <v>0</v>
      </c>
      <c r="AF28" s="215">
        <f t="shared" si="3"/>
        <v>0</v>
      </c>
      <c r="AG28" s="215">
        <f t="shared" si="0"/>
        <v>534670.5</v>
      </c>
      <c r="AH28" s="215">
        <f t="shared" si="1"/>
        <v>415765.5</v>
      </c>
      <c r="AI28" s="215"/>
      <c r="AJ28" s="215"/>
      <c r="AK28" s="215"/>
      <c r="AL28" s="215"/>
      <c r="AM28" s="215"/>
      <c r="AN28" s="215"/>
      <c r="AO28" s="215"/>
      <c r="AP28" s="215"/>
      <c r="AQ28" s="215"/>
      <c r="AR28" s="215"/>
      <c r="AS28" s="215"/>
      <c r="AT28" s="215"/>
      <c r="AU28" s="215"/>
      <c r="AV28" s="215"/>
      <c r="AW28" s="215"/>
      <c r="AX28" s="215"/>
      <c r="AY28" s="215"/>
      <c r="AZ28" s="209"/>
    </row>
    <row r="29" spans="1:52" s="218" customFormat="1" ht="26.25" hidden="1" customHeight="1">
      <c r="A29" s="213"/>
      <c r="B29" s="214" t="s">
        <v>317</v>
      </c>
      <c r="C29" s="213"/>
      <c r="D29" s="213"/>
      <c r="E29" s="213"/>
      <c r="F29" s="213"/>
      <c r="G29" s="213"/>
      <c r="H29" s="213"/>
      <c r="I29" s="217"/>
      <c r="J29" s="215"/>
      <c r="K29" s="215"/>
      <c r="L29" s="215"/>
      <c r="M29" s="215"/>
      <c r="N29" s="215"/>
      <c r="O29" s="215"/>
      <c r="P29" s="215"/>
      <c r="Q29" s="215"/>
      <c r="R29" s="215"/>
      <c r="S29" s="215"/>
      <c r="T29" s="215"/>
      <c r="U29" s="215"/>
      <c r="V29" s="215"/>
      <c r="W29" s="215"/>
      <c r="X29" s="215">
        <v>126000</v>
      </c>
      <c r="Y29" s="215"/>
      <c r="Z29" s="215"/>
      <c r="AA29" s="215"/>
      <c r="AB29" s="215">
        <v>108000</v>
      </c>
      <c r="AC29" s="215"/>
      <c r="AD29" s="215"/>
      <c r="AE29" s="215"/>
      <c r="AF29" s="215"/>
      <c r="AG29" s="215">
        <f t="shared" si="0"/>
        <v>0</v>
      </c>
      <c r="AH29" s="215">
        <f t="shared" si="1"/>
        <v>234000</v>
      </c>
      <c r="AI29" s="215"/>
      <c r="AJ29" s="215"/>
      <c r="AK29" s="215"/>
      <c r="AL29" s="215"/>
      <c r="AM29" s="215"/>
      <c r="AN29" s="215"/>
      <c r="AO29" s="215"/>
      <c r="AP29" s="215"/>
      <c r="AQ29" s="215"/>
      <c r="AR29" s="215"/>
      <c r="AS29" s="215"/>
      <c r="AT29" s="215"/>
      <c r="AU29" s="215"/>
      <c r="AV29" s="215"/>
      <c r="AW29" s="215"/>
      <c r="AX29" s="215"/>
      <c r="AY29" s="215"/>
      <c r="AZ29" s="209"/>
    </row>
    <row r="30" spans="1:52" s="232" customFormat="1" ht="55.5" hidden="1" customHeight="1">
      <c r="A30" s="227" t="s">
        <v>318</v>
      </c>
      <c r="B30" s="228" t="s">
        <v>319</v>
      </c>
      <c r="C30" s="229"/>
      <c r="D30" s="229"/>
      <c r="E30" s="229"/>
      <c r="F30" s="229"/>
      <c r="G30" s="230"/>
      <c r="H30" s="229"/>
      <c r="I30" s="231"/>
      <c r="J30" s="215">
        <f t="shared" ref="J30:O30" si="4">J60+J84+J117+J137+J161+J180+J203+J233+J259+J284+J297+J327+J332+J358+J398+J415+J418</f>
        <v>7446266.2999999998</v>
      </c>
      <c r="K30" s="215">
        <f t="shared" si="4"/>
        <v>2400276.5</v>
      </c>
      <c r="L30" s="215">
        <f t="shared" si="4"/>
        <v>806752.69</v>
      </c>
      <c r="M30" s="215">
        <f t="shared" si="4"/>
        <v>25655</v>
      </c>
      <c r="N30" s="215">
        <f t="shared" si="4"/>
        <v>319043</v>
      </c>
      <c r="O30" s="215">
        <f t="shared" si="4"/>
        <v>106234</v>
      </c>
      <c r="P30" s="215"/>
      <c r="Q30" s="215"/>
      <c r="R30" s="215">
        <f>R60+R84+R117+R137+R161+R180+R203+R233+R259+R284+R297+R327+R332+R358+R398+R415+R418</f>
        <v>3597976</v>
      </c>
      <c r="S30" s="215">
        <f>S60+S84+S117+S137+S161+S180+S203+S233+S259+S284+S297+S327+S332+S358+S398+S415+S418</f>
        <v>2290119.7000000002</v>
      </c>
      <c r="T30" s="215">
        <f>T60+T84+T117+T137+T161+T180+T203+T233+T259+T284+T297+T327+T332+T358+T398+T415+T418</f>
        <v>0</v>
      </c>
      <c r="U30" s="215">
        <f>U60+U84+U117+U137+U161+U180+U203+U233+U259+U284+U297+U327+U332+U358+U398+U415+U418</f>
        <v>6850</v>
      </c>
      <c r="V30" s="215"/>
      <c r="W30" s="215">
        <f>W60+W84+W117+W137+W161+W180+W203+W233+W259+W284+W297+W327+W332+W358+W398+W415+W418</f>
        <v>220682.5</v>
      </c>
      <c r="X30" s="215">
        <f>X60+X84+X117+X137+X161+X180+X203+X233+X259+X284+X297+X327+X332+X358+X398+X415+X418-2580</f>
        <v>171999.5</v>
      </c>
      <c r="Y30" s="215">
        <f t="shared" ref="Y30:AD30" si="5">Y60+Y84+Y117+Y137+Y161+Y180+Y203+Y233+Y259+Y284+Y297+Y327+Y332+Y358+Y398+Y415+Y418</f>
        <v>0</v>
      </c>
      <c r="Z30" s="215">
        <f t="shared" si="5"/>
        <v>6850</v>
      </c>
      <c r="AA30" s="215">
        <f t="shared" si="5"/>
        <v>313988</v>
      </c>
      <c r="AB30" s="215">
        <f t="shared" si="5"/>
        <v>243766</v>
      </c>
      <c r="AC30" s="215">
        <f t="shared" si="5"/>
        <v>1000</v>
      </c>
      <c r="AD30" s="215">
        <f t="shared" si="5"/>
        <v>0</v>
      </c>
      <c r="AE30" s="215"/>
      <c r="AF30" s="215"/>
      <c r="AG30" s="215">
        <f t="shared" si="0"/>
        <v>534670.5</v>
      </c>
      <c r="AH30" s="215">
        <f t="shared" si="1"/>
        <v>415765.5</v>
      </c>
      <c r="AI30" s="215"/>
      <c r="AJ30" s="215"/>
      <c r="AK30" s="215"/>
      <c r="AL30" s="215"/>
      <c r="AM30" s="215"/>
      <c r="AN30" s="215"/>
      <c r="AO30" s="215"/>
      <c r="AP30" s="215"/>
      <c r="AQ30" s="215"/>
      <c r="AR30" s="215"/>
      <c r="AS30" s="215"/>
      <c r="AT30" s="215"/>
      <c r="AU30" s="215"/>
      <c r="AV30" s="215"/>
      <c r="AW30" s="215"/>
      <c r="AX30" s="215"/>
      <c r="AY30" s="215"/>
      <c r="AZ30" s="213"/>
    </row>
    <row r="31" spans="1:52" s="232" customFormat="1" ht="14.25" hidden="1">
      <c r="A31" s="227"/>
      <c r="B31" s="228"/>
      <c r="C31" s="229"/>
      <c r="D31" s="229"/>
      <c r="E31" s="229"/>
      <c r="F31" s="229"/>
      <c r="G31" s="229"/>
      <c r="H31" s="229"/>
      <c r="I31" s="231"/>
      <c r="J31" s="215"/>
      <c r="K31" s="215"/>
      <c r="L31" s="215"/>
      <c r="M31" s="215"/>
      <c r="N31" s="215"/>
      <c r="O31" s="215"/>
      <c r="P31" s="215"/>
      <c r="Q31" s="215"/>
      <c r="R31" s="215"/>
      <c r="S31" s="215">
        <v>3399692.1007969999</v>
      </c>
      <c r="T31" s="215">
        <v>169799.89920300012</v>
      </c>
      <c r="U31" s="215"/>
      <c r="V31" s="215"/>
      <c r="W31" s="215"/>
      <c r="X31" s="215">
        <v>618630.55650832993</v>
      </c>
      <c r="Y31" s="215">
        <v>24731.3</v>
      </c>
      <c r="Z31" s="215">
        <v>219248.52</v>
      </c>
      <c r="AA31" s="215">
        <v>800685.25575700006</v>
      </c>
      <c r="AB31" s="215">
        <v>506437.25575700001</v>
      </c>
      <c r="AC31" s="215">
        <v>23670.793259999999</v>
      </c>
      <c r="AD31" s="215">
        <v>26722.310333333335</v>
      </c>
      <c r="AE31" s="215"/>
      <c r="AF31" s="215"/>
      <c r="AG31" s="215">
        <f t="shared" si="0"/>
        <v>800685.25575700006</v>
      </c>
      <c r="AH31" s="215">
        <f t="shared" si="1"/>
        <v>1125067.81226533</v>
      </c>
      <c r="AI31" s="215"/>
      <c r="AJ31" s="215"/>
      <c r="AK31" s="215"/>
      <c r="AL31" s="215"/>
      <c r="AM31" s="215"/>
      <c r="AN31" s="215"/>
      <c r="AO31" s="215"/>
      <c r="AP31" s="215"/>
      <c r="AQ31" s="215"/>
      <c r="AR31" s="215"/>
      <c r="AS31" s="215"/>
      <c r="AT31" s="215"/>
      <c r="AU31" s="215"/>
      <c r="AV31" s="215"/>
      <c r="AW31" s="215"/>
      <c r="AX31" s="215"/>
      <c r="AY31" s="215"/>
      <c r="AZ31" s="213">
        <f>AB17-AB31</f>
        <v>31999.744242999994</v>
      </c>
    </row>
    <row r="32" spans="1:52" s="232" customFormat="1" ht="28.5" hidden="1" customHeight="1">
      <c r="A32" s="227" t="s">
        <v>32</v>
      </c>
      <c r="B32" s="228" t="s">
        <v>170</v>
      </c>
      <c r="C32" s="229"/>
      <c r="D32" s="229"/>
      <c r="E32" s="229"/>
      <c r="F32" s="229"/>
      <c r="G32" s="230"/>
      <c r="H32" s="229"/>
      <c r="I32" s="231"/>
      <c r="J32" s="215"/>
      <c r="K32" s="215"/>
      <c r="L32" s="215"/>
      <c r="M32" s="215"/>
      <c r="N32" s="215"/>
      <c r="O32" s="215"/>
      <c r="P32" s="215"/>
      <c r="Q32" s="215"/>
      <c r="R32" s="215">
        <v>4900697.9007970002</v>
      </c>
      <c r="S32" s="215">
        <v>2845795.5713</v>
      </c>
      <c r="T32" s="215">
        <v>83.707450172703929</v>
      </c>
      <c r="U32" s="215"/>
      <c r="V32" s="215"/>
      <c r="W32" s="215"/>
      <c r="X32" s="215">
        <v>497526.74829999998</v>
      </c>
      <c r="Y32" s="215">
        <v>24731.3</v>
      </c>
      <c r="Z32" s="215">
        <v>215143.52</v>
      </c>
      <c r="AA32" s="215">
        <v>742388.88626000006</v>
      </c>
      <c r="AB32" s="215">
        <v>454236.88626</v>
      </c>
      <c r="AC32" s="215">
        <v>17670.793259999999</v>
      </c>
      <c r="AD32" s="215">
        <v>26722.310333333335</v>
      </c>
      <c r="AE32" s="215"/>
      <c r="AF32" s="215"/>
      <c r="AG32" s="215">
        <f t="shared" si="0"/>
        <v>742388.88626000006</v>
      </c>
      <c r="AH32" s="215">
        <f t="shared" si="1"/>
        <v>951763.63455999992</v>
      </c>
      <c r="AI32" s="215"/>
      <c r="AJ32" s="215"/>
      <c r="AK32" s="215"/>
      <c r="AL32" s="215"/>
      <c r="AM32" s="215"/>
      <c r="AN32" s="215"/>
      <c r="AO32" s="215"/>
      <c r="AP32" s="215"/>
      <c r="AQ32" s="215"/>
      <c r="AR32" s="215"/>
      <c r="AS32" s="215"/>
      <c r="AT32" s="215"/>
      <c r="AU32" s="215"/>
      <c r="AV32" s="215"/>
      <c r="AW32" s="215"/>
      <c r="AX32" s="215"/>
      <c r="AY32" s="215"/>
      <c r="AZ32" s="233">
        <f>AB32/AB31*100</f>
        <v>89.692628473990681</v>
      </c>
    </row>
    <row r="33" spans="1:53" s="232" customFormat="1" ht="40.5" hidden="1" customHeight="1">
      <c r="A33" s="227" t="s">
        <v>37</v>
      </c>
      <c r="B33" s="234" t="s">
        <v>320</v>
      </c>
      <c r="C33" s="229"/>
      <c r="D33" s="229"/>
      <c r="E33" s="229"/>
      <c r="F33" s="229"/>
      <c r="G33" s="235" t="e">
        <f>G34+G35</f>
        <v>#REF!</v>
      </c>
      <c r="H33" s="229"/>
      <c r="I33" s="231"/>
      <c r="J33" s="215"/>
      <c r="K33" s="215"/>
      <c r="L33" s="215"/>
      <c r="M33" s="215">
        <v>573672</v>
      </c>
      <c r="N33" s="215">
        <v>3011019.6359999999</v>
      </c>
      <c r="O33" s="215">
        <v>799116</v>
      </c>
      <c r="P33" s="215"/>
      <c r="Q33" s="215"/>
      <c r="R33" s="215">
        <v>1546534.9613000001</v>
      </c>
      <c r="S33" s="215">
        <v>918726.86129999999</v>
      </c>
      <c r="T33" s="215">
        <v>27.023825513040435</v>
      </c>
      <c r="U33" s="215">
        <v>292486.98800000001</v>
      </c>
      <c r="V33" s="215"/>
      <c r="W33" s="215">
        <v>567780.6483</v>
      </c>
      <c r="X33" s="215">
        <v>436373.6483</v>
      </c>
      <c r="Y33" s="215">
        <v>24731.3</v>
      </c>
      <c r="Z33" s="215">
        <v>215143.52</v>
      </c>
      <c r="AA33" s="215">
        <v>344304.88626</v>
      </c>
      <c r="AB33" s="215">
        <v>206583.88626</v>
      </c>
      <c r="AC33" s="215">
        <v>14170.79326</v>
      </c>
      <c r="AD33" s="215">
        <v>26688.977000000003</v>
      </c>
      <c r="AE33" s="215"/>
      <c r="AF33" s="215"/>
      <c r="AG33" s="215">
        <f t="shared" si="0"/>
        <v>912085.53456000006</v>
      </c>
      <c r="AH33" s="215">
        <f t="shared" si="1"/>
        <v>642957.53456000006</v>
      </c>
      <c r="AI33" s="215"/>
      <c r="AJ33" s="215"/>
      <c r="AK33" s="215"/>
      <c r="AL33" s="215"/>
      <c r="AM33" s="215"/>
      <c r="AN33" s="215"/>
      <c r="AO33" s="215"/>
      <c r="AP33" s="215"/>
      <c r="AQ33" s="215"/>
      <c r="AR33" s="215"/>
      <c r="AS33" s="215"/>
      <c r="AT33" s="215"/>
      <c r="AU33" s="215"/>
      <c r="AV33" s="215"/>
      <c r="AW33" s="215"/>
      <c r="AX33" s="215"/>
      <c r="AY33" s="215"/>
      <c r="AZ33" s="233">
        <f>AB33/AB31*100</f>
        <v>40.791605260400431</v>
      </c>
    </row>
    <row r="34" spans="1:53" s="232" customFormat="1" ht="39" hidden="1" customHeight="1">
      <c r="A34" s="227" t="s">
        <v>280</v>
      </c>
      <c r="B34" s="236" t="s">
        <v>321</v>
      </c>
      <c r="C34" s="229"/>
      <c r="D34" s="229"/>
      <c r="E34" s="229"/>
      <c r="F34" s="229"/>
      <c r="G34" s="235" t="e">
        <f>#REF!+#REF!+#REF!+#REF!+#REF!+#REF!+#REF!+#REF!+#REF!+#REF!+#REF!+#REF!+#REF!</f>
        <v>#REF!</v>
      </c>
      <c r="H34" s="213" t="e">
        <f>#REF!+#REF!+#REF!+#REF!+#REF!+#REF!+#REF!+#REF!+#REF!+#REF!+#REF!+#REF!+#REF!</f>
        <v>#REF!</v>
      </c>
      <c r="I34" s="217" t="e">
        <f>#REF!+#REF!+#REF!+#REF!+#REF!+#REF!+#REF!+#REF!+#REF!+#REF!+#REF!+#REF!+#REF!</f>
        <v>#REF!</v>
      </c>
      <c r="J34" s="215">
        <v>2398135.7139999997</v>
      </c>
      <c r="K34" s="215">
        <v>931603.5</v>
      </c>
      <c r="L34" s="215">
        <v>1980181.327</v>
      </c>
      <c r="M34" s="215">
        <v>480561</v>
      </c>
      <c r="N34" s="215">
        <v>1786790.327</v>
      </c>
      <c r="O34" s="215">
        <v>575629</v>
      </c>
      <c r="P34" s="215"/>
      <c r="Q34" s="215"/>
      <c r="R34" s="215">
        <v>372285.96130000002</v>
      </c>
      <c r="S34" s="215">
        <v>324239.96130000002</v>
      </c>
      <c r="T34" s="215">
        <v>9.5373331374328725</v>
      </c>
      <c r="U34" s="215">
        <v>235222.98800000001</v>
      </c>
      <c r="V34" s="215"/>
      <c r="W34" s="215">
        <v>236073.98830000003</v>
      </c>
      <c r="X34" s="215">
        <v>229072.98830000003</v>
      </c>
      <c r="Y34" s="215">
        <v>24231.3</v>
      </c>
      <c r="Z34" s="215">
        <v>178773.52</v>
      </c>
      <c r="AA34" s="215">
        <v>82388.616259999995</v>
      </c>
      <c r="AB34" s="215">
        <v>55478.616259999995</v>
      </c>
      <c r="AC34" s="215">
        <v>10697.79326</v>
      </c>
      <c r="AD34" s="215">
        <v>19200.847000000002</v>
      </c>
      <c r="AE34" s="215"/>
      <c r="AF34" s="215"/>
      <c r="AG34" s="215">
        <f t="shared" si="0"/>
        <v>318462.60456000001</v>
      </c>
      <c r="AH34" s="215">
        <f t="shared" si="1"/>
        <v>284551.60456000001</v>
      </c>
      <c r="AI34" s="215"/>
      <c r="AJ34" s="215"/>
      <c r="AK34" s="215"/>
      <c r="AL34" s="215"/>
      <c r="AM34" s="215"/>
      <c r="AN34" s="215"/>
      <c r="AO34" s="215"/>
      <c r="AP34" s="215"/>
      <c r="AQ34" s="215"/>
      <c r="AR34" s="215"/>
      <c r="AS34" s="215"/>
      <c r="AT34" s="215"/>
      <c r="AU34" s="215"/>
      <c r="AV34" s="215"/>
      <c r="AW34" s="215"/>
      <c r="AX34" s="215"/>
      <c r="AY34" s="215"/>
      <c r="AZ34" s="233">
        <f>AB34/AB30*100</f>
        <v>22.758964031078985</v>
      </c>
    </row>
    <row r="35" spans="1:53" s="232" customFormat="1" ht="42" hidden="1" customHeight="1">
      <c r="A35" s="227" t="s">
        <v>281</v>
      </c>
      <c r="B35" s="236" t="s">
        <v>322</v>
      </c>
      <c r="C35" s="229"/>
      <c r="D35" s="229"/>
      <c r="E35" s="229"/>
      <c r="F35" s="229"/>
      <c r="G35" s="235" t="e">
        <f>#REF!+#REF!+#REF!+#REF!+#REF!+#REF!+#REF!+#REF!+#REF!+#REF!+#REF!+#REF!</f>
        <v>#REF!</v>
      </c>
      <c r="H35" s="213" t="e">
        <f>#REF!+#REF!+#REF!+#REF!+#REF!+#REF!+#REF!+#REF!+#REF!+#REF!+#REF!+#REF!</f>
        <v>#REF!</v>
      </c>
      <c r="I35" s="217" t="e">
        <f>#REF!+#REF!+#REF!+#REF!+#REF!+#REF!+#REF!+#REF!+#REF!+#REF!+#REF!+#REF!</f>
        <v>#REF!</v>
      </c>
      <c r="J35" s="215">
        <v>3974435.0219999999</v>
      </c>
      <c r="K35" s="215">
        <v>894540.9</v>
      </c>
      <c r="L35" s="215">
        <v>1541069.3089999999</v>
      </c>
      <c r="M35" s="215">
        <v>93111</v>
      </c>
      <c r="N35" s="215">
        <v>1224229.3089999999</v>
      </c>
      <c r="O35" s="215">
        <v>223487</v>
      </c>
      <c r="P35" s="215"/>
      <c r="Q35" s="215"/>
      <c r="R35" s="215">
        <v>1174249</v>
      </c>
      <c r="S35" s="215">
        <v>594486.9</v>
      </c>
      <c r="T35" s="215">
        <v>17.486492375607565</v>
      </c>
      <c r="U35" s="215">
        <v>57264</v>
      </c>
      <c r="V35" s="215"/>
      <c r="W35" s="215">
        <v>331706.66000000003</v>
      </c>
      <c r="X35" s="215">
        <v>207300.66</v>
      </c>
      <c r="Y35" s="215">
        <v>500</v>
      </c>
      <c r="Z35" s="215">
        <v>36370</v>
      </c>
      <c r="AA35" s="215">
        <v>261916.27000000002</v>
      </c>
      <c r="AB35" s="215">
        <v>151105.26999999999</v>
      </c>
      <c r="AC35" s="215">
        <v>3473</v>
      </c>
      <c r="AD35" s="215">
        <v>7488.13</v>
      </c>
      <c r="AE35" s="215"/>
      <c r="AF35" s="215"/>
      <c r="AG35" s="215">
        <f t="shared" si="0"/>
        <v>593622.93000000005</v>
      </c>
      <c r="AH35" s="215">
        <f t="shared" si="1"/>
        <v>358405.93</v>
      </c>
      <c r="AI35" s="215"/>
      <c r="AJ35" s="215"/>
      <c r="AK35" s="215"/>
      <c r="AL35" s="215"/>
      <c r="AM35" s="215"/>
      <c r="AN35" s="215"/>
      <c r="AO35" s="215"/>
      <c r="AP35" s="215"/>
      <c r="AQ35" s="215"/>
      <c r="AR35" s="215"/>
      <c r="AS35" s="215"/>
      <c r="AT35" s="215"/>
      <c r="AU35" s="215"/>
      <c r="AV35" s="215"/>
      <c r="AW35" s="215"/>
      <c r="AX35" s="215"/>
      <c r="AY35" s="215"/>
      <c r="AZ35" s="233">
        <f>AB35/AB30*100</f>
        <v>61.987836695847655</v>
      </c>
    </row>
    <row r="36" spans="1:53" s="232" customFormat="1" ht="34.5" hidden="1" customHeight="1">
      <c r="A36" s="227" t="s">
        <v>39</v>
      </c>
      <c r="B36" s="234" t="s">
        <v>323</v>
      </c>
      <c r="C36" s="229"/>
      <c r="D36" s="229"/>
      <c r="E36" s="229"/>
      <c r="F36" s="229"/>
      <c r="G36" s="235" t="e">
        <f>#REF!+#REF!+#REF!+#REF!+#REF!+#REF!+G207+#REF!+#REF!+#REF!+G304+G328+G333+#REF!</f>
        <v>#REF!</v>
      </c>
      <c r="H36" s="230" t="e">
        <f>#REF!+#REF!+#REF!+#REF!+#REF!+#REF!+H207+#REF!+#REF!+#REF!+H304+H328+H333+#REF!</f>
        <v>#REF!</v>
      </c>
      <c r="I36" s="217" t="e">
        <f>#REF!+#REF!+#REF!+#REF!+#REF!+#REF!+I207+#REF!+#REF!+#REF!+I304+I328+I333+#REF!</f>
        <v>#REF!</v>
      </c>
      <c r="J36" s="215">
        <v>1059034.8999999999</v>
      </c>
      <c r="K36" s="215">
        <v>815011.9</v>
      </c>
      <c r="L36" s="215">
        <v>5000</v>
      </c>
      <c r="M36" s="215">
        <v>0</v>
      </c>
      <c r="N36" s="215">
        <v>28595</v>
      </c>
      <c r="O36" s="215">
        <v>5000</v>
      </c>
      <c r="P36" s="215"/>
      <c r="Q36" s="215"/>
      <c r="R36" s="215">
        <v>2155351.4099999997</v>
      </c>
      <c r="S36" s="215">
        <v>1927068.71</v>
      </c>
      <c r="T36" s="215">
        <v>56.683624659663487</v>
      </c>
      <c r="U36" s="215">
        <v>86793</v>
      </c>
      <c r="V36" s="215"/>
      <c r="W36" s="215">
        <v>64153.1</v>
      </c>
      <c r="X36" s="215">
        <v>61153.1</v>
      </c>
      <c r="Y36" s="215">
        <v>0</v>
      </c>
      <c r="Z36" s="215">
        <v>0</v>
      </c>
      <c r="AA36" s="215">
        <v>398084</v>
      </c>
      <c r="AB36" s="215">
        <v>247653</v>
      </c>
      <c r="AC36" s="215">
        <v>3500</v>
      </c>
      <c r="AD36" s="215">
        <v>33.333333333333329</v>
      </c>
      <c r="AE36" s="215"/>
      <c r="AF36" s="215"/>
      <c r="AG36" s="215">
        <f t="shared" si="0"/>
        <v>462237.1</v>
      </c>
      <c r="AH36" s="215">
        <f t="shared" si="1"/>
        <v>308806.09999999998</v>
      </c>
      <c r="AI36" s="215"/>
      <c r="AJ36" s="215"/>
      <c r="AK36" s="215"/>
      <c r="AL36" s="215"/>
      <c r="AM36" s="215"/>
      <c r="AN36" s="215"/>
      <c r="AO36" s="215"/>
      <c r="AP36" s="215"/>
      <c r="AQ36" s="215"/>
      <c r="AR36" s="215"/>
      <c r="AS36" s="215"/>
      <c r="AT36" s="215"/>
      <c r="AU36" s="215"/>
      <c r="AV36" s="215"/>
      <c r="AW36" s="215"/>
      <c r="AX36" s="215"/>
      <c r="AY36" s="215"/>
      <c r="AZ36" s="233">
        <f>AB36/AB30*100</f>
        <v>101.59456199798167</v>
      </c>
    </row>
    <row r="37" spans="1:53" s="232" customFormat="1" ht="24" hidden="1" customHeight="1">
      <c r="A37" s="237" t="s">
        <v>48</v>
      </c>
      <c r="B37" s="238" t="s">
        <v>324</v>
      </c>
      <c r="C37" s="229"/>
      <c r="D37" s="229"/>
      <c r="E37" s="229"/>
      <c r="F37" s="229"/>
      <c r="G37" s="234" t="e">
        <f>SUM(G34:G36)</f>
        <v>#REF!</v>
      </c>
      <c r="H37" s="229"/>
      <c r="I37" s="231"/>
      <c r="J37" s="215">
        <v>2940880.7795480001</v>
      </c>
      <c r="K37" s="215">
        <v>218815.94057599999</v>
      </c>
      <c r="L37" s="215">
        <v>808171.99</v>
      </c>
      <c r="M37" s="215">
        <v>76914</v>
      </c>
      <c r="N37" s="215">
        <v>781667.99</v>
      </c>
      <c r="O37" s="215">
        <v>70306</v>
      </c>
      <c r="P37" s="215"/>
      <c r="Q37" s="215"/>
      <c r="R37" s="215">
        <v>736500.52949700004</v>
      </c>
      <c r="S37" s="215">
        <v>190488.52949700001</v>
      </c>
      <c r="T37" s="215">
        <v>5.603111218581919</v>
      </c>
      <c r="U37" s="215">
        <v>5557.3694969999997</v>
      </c>
      <c r="V37" s="215"/>
      <c r="W37" s="215">
        <v>49509.808208329996</v>
      </c>
      <c r="X37" s="215">
        <v>36509.808208329996</v>
      </c>
      <c r="Y37" s="215">
        <v>0</v>
      </c>
      <c r="Z37" s="215">
        <v>4105</v>
      </c>
      <c r="AA37" s="215">
        <v>58296.369497</v>
      </c>
      <c r="AB37" s="215">
        <v>52200.369497</v>
      </c>
      <c r="AC37" s="215">
        <v>6000</v>
      </c>
      <c r="AD37" s="215">
        <v>0</v>
      </c>
      <c r="AE37" s="215"/>
      <c r="AF37" s="215"/>
      <c r="AG37" s="215">
        <f t="shared" si="0"/>
        <v>107806.17770532999</v>
      </c>
      <c r="AH37" s="215">
        <f t="shared" si="1"/>
        <v>88710.177705329988</v>
      </c>
      <c r="AI37" s="215"/>
      <c r="AJ37" s="215"/>
      <c r="AK37" s="215"/>
      <c r="AL37" s="215"/>
      <c r="AM37" s="215"/>
      <c r="AN37" s="215"/>
      <c r="AO37" s="215"/>
      <c r="AP37" s="215"/>
      <c r="AQ37" s="215"/>
      <c r="AR37" s="215"/>
      <c r="AS37" s="215"/>
      <c r="AT37" s="215"/>
      <c r="AU37" s="215"/>
      <c r="AV37" s="215"/>
      <c r="AW37" s="215"/>
      <c r="AX37" s="215"/>
      <c r="AY37" s="215"/>
      <c r="AZ37" s="239">
        <f>AB37/AB30*100</f>
        <v>21.41413055840437</v>
      </c>
    </row>
    <row r="38" spans="1:53" s="232" customFormat="1" ht="38.25" hidden="1" customHeight="1">
      <c r="A38" s="240" t="s">
        <v>180</v>
      </c>
      <c r="B38" s="241" t="s">
        <v>325</v>
      </c>
      <c r="C38" s="229"/>
      <c r="D38" s="229"/>
      <c r="E38" s="229"/>
      <c r="F38" s="229"/>
      <c r="G38" s="229" t="s">
        <v>311</v>
      </c>
      <c r="H38" s="229"/>
      <c r="I38" s="231"/>
      <c r="J38" s="242"/>
      <c r="K38" s="242"/>
      <c r="L38" s="242"/>
      <c r="M38" s="242"/>
      <c r="N38" s="242"/>
      <c r="O38" s="242"/>
      <c r="P38" s="242"/>
      <c r="Q38" s="242"/>
      <c r="R38" s="215">
        <v>363408</v>
      </c>
      <c r="S38" s="215">
        <v>363408</v>
      </c>
      <c r="T38" s="215">
        <v>10.689438608714159</v>
      </c>
      <c r="U38" s="215"/>
      <c r="V38" s="215"/>
      <c r="W38" s="215">
        <v>84594</v>
      </c>
      <c r="X38" s="215">
        <v>84594</v>
      </c>
      <c r="Y38" s="242"/>
      <c r="Z38" s="215">
        <v>0</v>
      </c>
      <c r="AA38" s="215"/>
      <c r="AB38" s="215"/>
      <c r="AC38" s="242"/>
      <c r="AD38" s="242">
        <v>0</v>
      </c>
      <c r="AE38" s="242"/>
      <c r="AF38" s="242"/>
      <c r="AG38" s="215">
        <f t="shared" si="0"/>
        <v>84594</v>
      </c>
      <c r="AH38" s="215">
        <f t="shared" si="1"/>
        <v>84594</v>
      </c>
      <c r="AI38" s="215"/>
      <c r="AJ38" s="215"/>
      <c r="AK38" s="215"/>
      <c r="AL38" s="215"/>
      <c r="AM38" s="215"/>
      <c r="AN38" s="215"/>
      <c r="AO38" s="242"/>
      <c r="AP38" s="242"/>
      <c r="AQ38" s="242"/>
      <c r="AR38" s="242"/>
      <c r="AS38" s="242"/>
      <c r="AT38" s="242"/>
      <c r="AU38" s="242"/>
      <c r="AV38" s="242"/>
      <c r="AW38" s="242"/>
      <c r="AX38" s="242"/>
      <c r="AY38" s="242"/>
      <c r="AZ38" s="243" t="s">
        <v>311</v>
      </c>
    </row>
    <row r="39" spans="1:53" s="232" customFormat="1" ht="24" hidden="1" customHeight="1">
      <c r="A39" s="240" t="s">
        <v>136</v>
      </c>
      <c r="B39" s="244" t="s">
        <v>326</v>
      </c>
      <c r="C39" s="229"/>
      <c r="D39" s="229"/>
      <c r="E39" s="229"/>
      <c r="F39" s="229"/>
      <c r="G39" s="229"/>
      <c r="H39" s="229"/>
      <c r="I39" s="231"/>
      <c r="J39" s="242"/>
      <c r="K39" s="242"/>
      <c r="L39" s="242"/>
      <c r="M39" s="242"/>
      <c r="N39" s="242"/>
      <c r="O39" s="242"/>
      <c r="P39" s="242"/>
      <c r="Q39" s="242"/>
      <c r="R39" s="215">
        <v>60000</v>
      </c>
      <c r="S39" s="215">
        <f>R39</f>
        <v>60000</v>
      </c>
      <c r="T39" s="215">
        <v>0</v>
      </c>
      <c r="U39" s="215"/>
      <c r="V39" s="215"/>
      <c r="W39" s="242"/>
      <c r="X39" s="242"/>
      <c r="Y39" s="242"/>
      <c r="Z39" s="242"/>
      <c r="AA39" s="215">
        <v>0</v>
      </c>
      <c r="AB39" s="215">
        <v>0</v>
      </c>
      <c r="AC39" s="242"/>
      <c r="AD39" s="242">
        <v>0</v>
      </c>
      <c r="AE39" s="242"/>
      <c r="AF39" s="242"/>
      <c r="AG39" s="215">
        <f t="shared" si="0"/>
        <v>0</v>
      </c>
      <c r="AH39" s="215">
        <f t="shared" si="1"/>
        <v>0</v>
      </c>
      <c r="AI39" s="215"/>
      <c r="AJ39" s="215"/>
      <c r="AK39" s="215"/>
      <c r="AL39" s="215"/>
      <c r="AM39" s="215"/>
      <c r="AN39" s="215"/>
      <c r="AO39" s="242"/>
      <c r="AP39" s="242"/>
      <c r="AQ39" s="242"/>
      <c r="AR39" s="242"/>
      <c r="AS39" s="242"/>
      <c r="AT39" s="242"/>
      <c r="AU39" s="242"/>
      <c r="AV39" s="242"/>
      <c r="AW39" s="242"/>
      <c r="AX39" s="242"/>
      <c r="AY39" s="242"/>
      <c r="AZ39" s="245">
        <f>AB39/AB30*100</f>
        <v>0</v>
      </c>
    </row>
    <row r="40" spans="1:53" s="232" customFormat="1" ht="22.5" hidden="1" customHeight="1">
      <c r="A40" s="227"/>
      <c r="B40" s="228"/>
      <c r="C40" s="229"/>
      <c r="D40" s="229"/>
      <c r="E40" s="229"/>
      <c r="F40" s="229"/>
      <c r="G40" s="229"/>
      <c r="H40" s="229"/>
      <c r="I40" s="231"/>
      <c r="J40" s="215"/>
      <c r="K40" s="215"/>
      <c r="L40" s="215"/>
      <c r="M40" s="215"/>
      <c r="N40" s="215"/>
      <c r="O40" s="215"/>
      <c r="P40" s="215"/>
      <c r="Q40" s="215"/>
      <c r="R40" s="215"/>
      <c r="S40" s="215"/>
      <c r="T40" s="215"/>
      <c r="U40" s="215"/>
      <c r="V40" s="215"/>
      <c r="W40" s="215">
        <v>631933.74829999998</v>
      </c>
      <c r="X40" s="215">
        <v>497526.74829999998</v>
      </c>
      <c r="Y40" s="215">
        <v>24731.3</v>
      </c>
      <c r="Z40" s="215">
        <v>215143.52</v>
      </c>
      <c r="AA40" s="215"/>
      <c r="AB40" s="215"/>
      <c r="AC40" s="215"/>
      <c r="AD40" s="215"/>
      <c r="AE40" s="215"/>
      <c r="AF40" s="215"/>
      <c r="AG40" s="215">
        <f t="shared" si="0"/>
        <v>631933.74829999998</v>
      </c>
      <c r="AH40" s="215">
        <f t="shared" si="1"/>
        <v>497526.74829999998</v>
      </c>
      <c r="AI40" s="215"/>
      <c r="AJ40" s="215"/>
      <c r="AK40" s="215"/>
      <c r="AL40" s="215"/>
      <c r="AM40" s="215"/>
      <c r="AN40" s="215"/>
      <c r="AO40" s="215"/>
      <c r="AP40" s="215"/>
      <c r="AQ40" s="215"/>
      <c r="AR40" s="215"/>
      <c r="AS40" s="215"/>
      <c r="AT40" s="215"/>
      <c r="AU40" s="215"/>
      <c r="AV40" s="215"/>
      <c r="AW40" s="215"/>
      <c r="AX40" s="215"/>
      <c r="AY40" s="215"/>
      <c r="AZ40" s="213">
        <f>SUM(AZ34:AZ39)</f>
        <v>207.75549328331269</v>
      </c>
    </row>
    <row r="41" spans="1:53" s="232" customFormat="1" ht="26.25" hidden="1" customHeight="1">
      <c r="A41" s="227"/>
      <c r="B41" s="228"/>
      <c r="C41" s="229"/>
      <c r="D41" s="229"/>
      <c r="E41" s="229"/>
      <c r="F41" s="229"/>
      <c r="G41" s="229"/>
      <c r="H41" s="229"/>
      <c r="I41" s="231"/>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47"/>
    </row>
    <row r="42" spans="1:53" s="232" customFormat="1" ht="26.25" customHeight="1">
      <c r="A42" s="227" t="s">
        <v>73</v>
      </c>
      <c r="B42" s="228" t="s">
        <v>630</v>
      </c>
      <c r="C42" s="229"/>
      <c r="D42" s="229"/>
      <c r="E42" s="229"/>
      <c r="F42" s="229"/>
      <c r="G42" s="229"/>
      <c r="H42" s="229"/>
      <c r="I42" s="231"/>
      <c r="J42" s="215"/>
      <c r="K42" s="215"/>
      <c r="L42" s="215"/>
      <c r="M42" s="215"/>
      <c r="N42" s="215"/>
      <c r="O42" s="215"/>
      <c r="P42" s="215"/>
      <c r="Q42" s="215"/>
      <c r="R42" s="215"/>
      <c r="S42" s="215">
        <f>S43</f>
        <v>2842293</v>
      </c>
      <c r="T42" s="215"/>
      <c r="U42" s="215"/>
      <c r="V42" s="215">
        <f t="shared" ref="V42:AH42" si="6">V43+V48</f>
        <v>0</v>
      </c>
      <c r="W42" s="215">
        <f t="shared" si="6"/>
        <v>136088.5</v>
      </c>
      <c r="X42" s="215">
        <f t="shared" si="6"/>
        <v>89985.5</v>
      </c>
      <c r="Y42" s="215">
        <f t="shared" si="6"/>
        <v>0</v>
      </c>
      <c r="Z42" s="215">
        <f t="shared" si="6"/>
        <v>6850</v>
      </c>
      <c r="AA42" s="215">
        <f t="shared" si="6"/>
        <v>315016</v>
      </c>
      <c r="AB42" s="215">
        <f t="shared" si="6"/>
        <v>244794</v>
      </c>
      <c r="AC42" s="215">
        <f t="shared" si="6"/>
        <v>1000</v>
      </c>
      <c r="AD42" s="215">
        <f t="shared" si="6"/>
        <v>0</v>
      </c>
      <c r="AE42" s="215">
        <f t="shared" si="6"/>
        <v>62916.157263000001</v>
      </c>
      <c r="AF42" s="215">
        <f t="shared" si="6"/>
        <v>120233.213611</v>
      </c>
      <c r="AG42" s="215" t="e">
        <f t="shared" si="6"/>
        <v>#REF!</v>
      </c>
      <c r="AH42" s="215" t="e">
        <f t="shared" si="6"/>
        <v>#REF!</v>
      </c>
      <c r="AI42" s="215"/>
      <c r="AJ42" s="215"/>
      <c r="AK42" s="215" t="e">
        <f>AK43+AK48</f>
        <v>#REF!</v>
      </c>
      <c r="AL42" s="215" t="e">
        <f>AL43+AL48</f>
        <v>#REF!</v>
      </c>
      <c r="AM42" s="215" t="e">
        <f>AM43+AM48</f>
        <v>#REF!</v>
      </c>
      <c r="AN42" s="215" t="e">
        <f>AN43+AN48</f>
        <v>#REF!</v>
      </c>
      <c r="AO42" s="215" t="e">
        <f>AO43</f>
        <v>#REF!</v>
      </c>
      <c r="AP42" s="215" t="e">
        <f>AP43</f>
        <v>#REF!</v>
      </c>
      <c r="AQ42" s="215" t="e">
        <f>AQ43+AQ48</f>
        <v>#REF!</v>
      </c>
      <c r="AR42" s="215" t="e">
        <f t="shared" ref="AR42:AY42" si="7">AR43+AR48</f>
        <v>#REF!</v>
      </c>
      <c r="AS42" s="215">
        <f>AS43</f>
        <v>2655381.5</v>
      </c>
      <c r="AT42" s="215">
        <f t="shared" ref="AT42:AV42" si="8">AT43</f>
        <v>976915.5</v>
      </c>
      <c r="AU42" s="215">
        <f t="shared" si="8"/>
        <v>852431.5</v>
      </c>
      <c r="AV42" s="215">
        <f t="shared" si="8"/>
        <v>708747</v>
      </c>
      <c r="AW42" s="215">
        <f>AW43</f>
        <v>645975</v>
      </c>
      <c r="AX42" s="215">
        <f t="shared" si="7"/>
        <v>20000</v>
      </c>
      <c r="AY42" s="215">
        <f t="shared" si="7"/>
        <v>0</v>
      </c>
      <c r="AZ42" s="250">
        <f>+AW49+AW50+AW51+AW52+AW53+AW63+AW65+AW66+AW67+AW68+AW69+AW73+AW74+AW75+AW78+AW79+AW80+AW81+AW87+AW89+AW93+AW94+AW97+AW98+AW99+AW102+AW103+AW104+AW105+AW106+AW107+AW110+AW113+AW114+AW120+AW123+AW124+AW125+AW126+AW127+AW128+AW131+AW132+AW133+AW134+AW140+AW143+AW144+AW147+AW148+AW149+AW150+AW153+AW164+AW169+AW170+AW171+AW172+AW173+AW174+AW177+AW184+AW185+AW188+AW189+AW190+AW193+AW194+AW195+AW196+AW197+AW198+AW200+AW207+AW211+AW212+AW213+AW214+AW215+AW218+AW221+AW222+AW223+AW224+AW225+AW227+AW228+AW229+AW230+AW239+AW240+AW241+AW242+AW243+AW244+AW245+AW246+AW248+AW251+AW252+AW262+AW263+AW266+AW267+AW270+AW272+AW273+AW279+AW287+AW288+AW289+AW290+AW292+AW293+AW294+AW310+AW314+AW317+AW318+AW319+AW320+AW321+AW323+AW324+AW330+AW337+AW338+AW342+AW343+AW344+AW345+AW346+AW347+AW350+AW351+AW352+AW353+AW354+AW355+AW361+AW363+AW364+AW365+AW366+AW367+AW368+AW369+AW372+AW373+AW374+AW376+AW377+AW378+AW379+AW380+AW381+AW385+AW386+AW387+AW388+AW389+AW390+AW392+AW393+AW394+AW395+AW402+AW404+AW405+AW407+AW408+AW409+AW411+AW412+AW416+AW429+AW431+AW432+AW434</f>
        <v>645975</v>
      </c>
      <c r="BA42" s="655"/>
    </row>
    <row r="43" spans="1:53" s="232" customFormat="1" ht="41.1" customHeight="1">
      <c r="A43" s="213" t="s">
        <v>652</v>
      </c>
      <c r="B43" s="214" t="s">
        <v>300</v>
      </c>
      <c r="C43" s="229"/>
      <c r="D43" s="229"/>
      <c r="E43" s="229"/>
      <c r="F43" s="229"/>
      <c r="G43" s="229"/>
      <c r="H43" s="229"/>
      <c r="I43" s="231"/>
      <c r="J43" s="215"/>
      <c r="K43" s="215"/>
      <c r="L43" s="215"/>
      <c r="M43" s="215"/>
      <c r="N43" s="215"/>
      <c r="O43" s="215"/>
      <c r="P43" s="215"/>
      <c r="Q43" s="215"/>
      <c r="R43" s="215"/>
      <c r="S43" s="215">
        <f>S44+S46+S47</f>
        <v>2842293</v>
      </c>
      <c r="T43" s="215"/>
      <c r="U43" s="215"/>
      <c r="V43" s="215">
        <f t="shared" ref="V43:AH43" si="9">V44+V46+V47</f>
        <v>0</v>
      </c>
      <c r="W43" s="215">
        <f t="shared" si="9"/>
        <v>136088.5</v>
      </c>
      <c r="X43" s="215">
        <f t="shared" si="9"/>
        <v>89985.5</v>
      </c>
      <c r="Y43" s="215">
        <f t="shared" si="9"/>
        <v>0</v>
      </c>
      <c r="Z43" s="215">
        <f t="shared" si="9"/>
        <v>6850</v>
      </c>
      <c r="AA43" s="215">
        <f t="shared" si="9"/>
        <v>313988</v>
      </c>
      <c r="AB43" s="215">
        <f t="shared" si="9"/>
        <v>243766</v>
      </c>
      <c r="AC43" s="215">
        <f t="shared" si="9"/>
        <v>1000</v>
      </c>
      <c r="AD43" s="215">
        <f t="shared" si="9"/>
        <v>0</v>
      </c>
      <c r="AE43" s="215">
        <f t="shared" si="9"/>
        <v>62916.157263000001</v>
      </c>
      <c r="AF43" s="215">
        <f t="shared" si="9"/>
        <v>120233.213611</v>
      </c>
      <c r="AG43" s="215">
        <f t="shared" si="9"/>
        <v>1165487</v>
      </c>
      <c r="AH43" s="215">
        <f t="shared" si="9"/>
        <v>1165487</v>
      </c>
      <c r="AI43" s="215"/>
      <c r="AJ43" s="215"/>
      <c r="AK43" s="215">
        <f>AK44+AK46+AK47</f>
        <v>594533.33333333337</v>
      </c>
      <c r="AL43" s="215">
        <f>AL44+AL46+AL47</f>
        <v>566716.33333333337</v>
      </c>
      <c r="AM43" s="215">
        <f>AM44+AM46+AM47</f>
        <v>1000</v>
      </c>
      <c r="AN43" s="215"/>
      <c r="AO43" s="215" t="e">
        <f>AO44+AO46+AO47</f>
        <v>#REF!</v>
      </c>
      <c r="AP43" s="215" t="e">
        <f>AP44+AP46+AP47</f>
        <v>#REF!</v>
      </c>
      <c r="AQ43" s="215">
        <f>AQ44+AQ46+AQ47</f>
        <v>1000</v>
      </c>
      <c r="AR43" s="215">
        <f t="shared" ref="AR43:AY43" si="10">AR44+AR46+AR47</f>
        <v>0</v>
      </c>
      <c r="AS43" s="215">
        <f t="shared" si="10"/>
        <v>2655381.5</v>
      </c>
      <c r="AT43" s="215">
        <f>AT44+AT46+AT47</f>
        <v>976915.5</v>
      </c>
      <c r="AU43" s="215">
        <f t="shared" si="10"/>
        <v>852431.5</v>
      </c>
      <c r="AV43" s="215">
        <f>AV44+AV46+AV47</f>
        <v>708747</v>
      </c>
      <c r="AW43" s="215">
        <f>AW44+AW46+AW47</f>
        <v>645975</v>
      </c>
      <c r="AX43" s="215">
        <f t="shared" si="10"/>
        <v>20000</v>
      </c>
      <c r="AY43" s="215">
        <f t="shared" si="10"/>
        <v>0</v>
      </c>
      <c r="AZ43" s="250"/>
    </row>
    <row r="44" spans="1:53" ht="34.5" customHeight="1">
      <c r="A44" s="210" t="s">
        <v>301</v>
      </c>
      <c r="B44" s="511" t="s">
        <v>631</v>
      </c>
      <c r="C44" s="303"/>
      <c r="D44" s="303"/>
      <c r="E44" s="303"/>
      <c r="F44" s="303"/>
      <c r="G44" s="303"/>
      <c r="H44" s="303"/>
      <c r="I44" s="512"/>
      <c r="J44" s="354"/>
      <c r="K44" s="354"/>
      <c r="L44" s="354">
        <f t="shared" ref="L44:Q44" si="11">L60+L84+L117+L137+L161+L180+L203+L233+L259+L284+L297+L327+L332+L358+L398+L415</f>
        <v>806752.69</v>
      </c>
      <c r="M44" s="354">
        <f t="shared" si="11"/>
        <v>25655</v>
      </c>
      <c r="N44" s="354">
        <f t="shared" si="11"/>
        <v>319043</v>
      </c>
      <c r="O44" s="354">
        <f t="shared" si="11"/>
        <v>106234</v>
      </c>
      <c r="P44" s="212">
        <f t="shared" si="11"/>
        <v>950134.19</v>
      </c>
      <c r="Q44" s="212">
        <f t="shared" si="11"/>
        <v>115606.5</v>
      </c>
      <c r="R44" s="354"/>
      <c r="S44" s="354">
        <v>2582193</v>
      </c>
      <c r="T44" s="354"/>
      <c r="U44" s="354"/>
      <c r="V44" s="212"/>
      <c r="W44" s="212">
        <f t="shared" ref="W44:AF44" si="12">W60+W84+W117+W137+W161+W180+W203+W233+W259+W284+W297+W327+W332+W358+W398+W415</f>
        <v>136088.5</v>
      </c>
      <c r="X44" s="212">
        <f t="shared" si="12"/>
        <v>89985.5</v>
      </c>
      <c r="Y44" s="212">
        <f t="shared" si="12"/>
        <v>0</v>
      </c>
      <c r="Z44" s="212">
        <f t="shared" si="12"/>
        <v>6850</v>
      </c>
      <c r="AA44" s="212">
        <f t="shared" si="12"/>
        <v>313988</v>
      </c>
      <c r="AB44" s="212">
        <f t="shared" si="12"/>
        <v>243766</v>
      </c>
      <c r="AC44" s="212">
        <f t="shared" si="12"/>
        <v>1000</v>
      </c>
      <c r="AD44" s="212">
        <f t="shared" si="12"/>
        <v>0</v>
      </c>
      <c r="AE44" s="212">
        <f t="shared" si="12"/>
        <v>62916.157263000001</v>
      </c>
      <c r="AF44" s="212">
        <f t="shared" si="12"/>
        <v>120233.213611</v>
      </c>
      <c r="AG44" s="212">
        <f>510462+602300</f>
        <v>1112762</v>
      </c>
      <c r="AH44" s="212">
        <f>510462+602300</f>
        <v>1112762</v>
      </c>
      <c r="AI44" s="212"/>
      <c r="AJ44" s="212"/>
      <c r="AK44" s="212">
        <f>AK60+AK84+AK117+AK137+AK161+AK180+AK203+AK233+AK259+AK284+AK297+AK327+AK332+AK358+AK398+AK415-12000</f>
        <v>562889.33333333337</v>
      </c>
      <c r="AL44" s="212">
        <f>AL60+AL84+AL117+AL137+AL161+AL180+AL203+AL233+AL259+AL284+AL297+AL327+AL332+AL358+AL398+AL415-12000</f>
        <v>535072.33333333337</v>
      </c>
      <c r="AM44" s="212">
        <f>AM60+AM84+AM117+AM137+AM161+AM180+AM203+AM233+AM259+AM284+AM297+AM327+AM332+AM358+AM398+AM415</f>
        <v>1000</v>
      </c>
      <c r="AN44" s="212">
        <f>AN60+AN84+AN117+AN137+AN161+AN180+AN203+AN233+AN259+AN284+AN297+AN327+AN332+AN358+AN398+AN415</f>
        <v>0</v>
      </c>
      <c r="AO44" s="212" t="e">
        <f>AO60+AO84+AO117+AO137+AO161+AO180+AO203+AO233+AO259+AO284+AO297+AO327+AO332+AO358+AO398+AO415+AO48-15800</f>
        <v>#REF!</v>
      </c>
      <c r="AP44" s="212" t="e">
        <f>AP60+AP84+AP117+AP137+AP161+AP180+AP203+AP233+AP259+AP284+AP297+AP327+AP332+AP358+AP398+AP415+AP48</f>
        <v>#REF!</v>
      </c>
      <c r="AQ44" s="212">
        <f>AQ60+AQ84+AQ117+AQ137+AQ161+AQ180+AQ203+AQ233+AQ259+AQ284+AQ297+AQ327+AQ332+AQ358+AQ398+AQ415</f>
        <v>1000</v>
      </c>
      <c r="AR44" s="212">
        <f>AR60+AR84+AR117+AR137+AR161+AR180+AR203+AR233+AR259+AR284+AR297+AR327+AR332+AR358+AR398+AR415</f>
        <v>0</v>
      </c>
      <c r="AS44" s="212">
        <f>AS60+AS84+AS117+AS137+AS161+AS180+AS203+AS233+AS259+AS284+AS297+AS327+AS332+AS358+AS398+AS415</f>
        <v>2566856.5</v>
      </c>
      <c r="AT44" s="212">
        <f>AT60+AT84+AT117+AT137+AT161+AT180+AT203+AT233+AT259+AT284+AT297+AT327+AT332+AT358+AT398+AT415</f>
        <v>888390.5</v>
      </c>
      <c r="AU44" s="212">
        <f>AU60+AU84+AU117+AU137+AU161+AU180+AU203+AU233+AU259+AU284+AU297+AU327+AU332+AU358+AU398+AU415</f>
        <v>763906.5</v>
      </c>
      <c r="AV44" s="212">
        <f>AV60+AV84+AV117+AV137+AV161+AV180+AV203+AV233+AV259+AV284+AV297+AV327+AV332+AV358+AV398+AV415+AV48-18045</f>
        <v>665702</v>
      </c>
      <c r="AW44" s="212">
        <f>AW60+AW84+AW117+AW137+AW161+AW180+AW203+AW233+AW259+AW284+AW297+AW327+AW332+AW358+AW398+AW415+AW48-18045</f>
        <v>602930</v>
      </c>
      <c r="AX44" s="212">
        <f>AX60+AX84+AX117+AX137+AX161+AX180+AX203+AX233+AX259+AX284+AX297+AX327+AX332+AX358+AX398+AX415</f>
        <v>20000</v>
      </c>
      <c r="AY44" s="212">
        <f>AY60+AY84+AY117+AY137+AY161+AY180+AY203+AY233+AY259+AY284+AY297+AY327+AY332+AY358+AY398+AY415</f>
        <v>0</v>
      </c>
      <c r="AZ44" s="513"/>
    </row>
    <row r="45" spans="1:53" s="279" customFormat="1" ht="34.5" customHeight="1">
      <c r="A45" s="224"/>
      <c r="B45" s="580" t="s">
        <v>303</v>
      </c>
      <c r="C45" s="518"/>
      <c r="D45" s="518"/>
      <c r="E45" s="518"/>
      <c r="F45" s="518"/>
      <c r="G45" s="518"/>
      <c r="H45" s="518"/>
      <c r="I45" s="519"/>
      <c r="J45" s="520"/>
      <c r="K45" s="520"/>
      <c r="L45" s="520"/>
      <c r="M45" s="520"/>
      <c r="N45" s="520"/>
      <c r="O45" s="520"/>
      <c r="P45" s="223"/>
      <c r="Q45" s="223"/>
      <c r="R45" s="520"/>
      <c r="S45" s="520"/>
      <c r="T45" s="520"/>
      <c r="U45" s="520"/>
      <c r="V45" s="223"/>
      <c r="W45" s="223"/>
      <c r="X45" s="223"/>
      <c r="Y45" s="223"/>
      <c r="Z45" s="223"/>
      <c r="AA45" s="223"/>
      <c r="AB45" s="223"/>
      <c r="AC45" s="223"/>
      <c r="AD45" s="223"/>
      <c r="AE45" s="223"/>
      <c r="AF45" s="223"/>
      <c r="AG45" s="223"/>
      <c r="AH45" s="223"/>
      <c r="AI45" s="223"/>
      <c r="AJ45" s="223"/>
      <c r="AK45" s="223"/>
      <c r="AL45" s="223"/>
      <c r="AM45" s="223"/>
      <c r="AN45" s="223"/>
      <c r="AO45" s="223">
        <f>AP45</f>
        <v>592730</v>
      </c>
      <c r="AP45" s="223">
        <v>592730</v>
      </c>
      <c r="AQ45" s="223"/>
      <c r="AR45" s="223"/>
      <c r="AS45" s="223"/>
      <c r="AT45" s="223"/>
      <c r="AU45" s="223"/>
      <c r="AV45" s="223"/>
      <c r="AW45" s="223"/>
      <c r="AX45" s="223"/>
      <c r="AY45" s="223"/>
      <c r="AZ45" s="521"/>
    </row>
    <row r="46" spans="1:53" ht="48.6" customHeight="1">
      <c r="A46" s="209" t="s">
        <v>305</v>
      </c>
      <c r="B46" s="219" t="s">
        <v>651</v>
      </c>
      <c r="C46" s="243"/>
      <c r="D46" s="243"/>
      <c r="E46" s="243"/>
      <c r="F46" s="243"/>
      <c r="G46" s="243"/>
      <c r="H46" s="243"/>
      <c r="I46" s="248"/>
      <c r="J46" s="212"/>
      <c r="K46" s="212"/>
      <c r="L46" s="212"/>
      <c r="M46" s="212"/>
      <c r="N46" s="212"/>
      <c r="O46" s="212"/>
      <c r="P46" s="212"/>
      <c r="Q46" s="212"/>
      <c r="R46" s="249"/>
      <c r="S46" s="249">
        <v>150300</v>
      </c>
      <c r="T46" s="212"/>
      <c r="U46" s="212"/>
      <c r="V46" s="212"/>
      <c r="W46" s="212"/>
      <c r="X46" s="212"/>
      <c r="Y46" s="212"/>
      <c r="Z46" s="212"/>
      <c r="AA46" s="212"/>
      <c r="AB46" s="212"/>
      <c r="AC46" s="212"/>
      <c r="AD46" s="212"/>
      <c r="AE46" s="212"/>
      <c r="AF46" s="212"/>
      <c r="AG46" s="212">
        <f>AH46</f>
        <v>24725</v>
      </c>
      <c r="AH46" s="212">
        <f>13750+10975</f>
        <v>24725</v>
      </c>
      <c r="AI46" s="212"/>
      <c r="AJ46" s="212"/>
      <c r="AK46" s="212">
        <v>12000</v>
      </c>
      <c r="AL46" s="212">
        <v>12000</v>
      </c>
      <c r="AM46" s="212"/>
      <c r="AN46" s="212"/>
      <c r="AO46" s="212">
        <f>AP46</f>
        <v>15800</v>
      </c>
      <c r="AP46" s="212">
        <v>15800</v>
      </c>
      <c r="AQ46" s="212"/>
      <c r="AR46" s="212"/>
      <c r="AS46" s="212">
        <f>+AT46</f>
        <v>40525</v>
      </c>
      <c r="AT46" s="212">
        <f>+AU46</f>
        <v>40525</v>
      </c>
      <c r="AU46" s="212">
        <v>40525</v>
      </c>
      <c r="AV46" s="212">
        <f>AW46</f>
        <v>18045</v>
      </c>
      <c r="AW46" s="212">
        <v>18045</v>
      </c>
      <c r="AX46" s="212"/>
      <c r="AY46" s="212"/>
      <c r="AZ46" s="247"/>
    </row>
    <row r="47" spans="1:53" ht="36" customHeight="1">
      <c r="A47" s="209" t="s">
        <v>307</v>
      </c>
      <c r="B47" s="219" t="s">
        <v>308</v>
      </c>
      <c r="C47" s="243"/>
      <c r="D47" s="243"/>
      <c r="E47" s="243"/>
      <c r="F47" s="243"/>
      <c r="G47" s="243"/>
      <c r="H47" s="243"/>
      <c r="I47" s="248"/>
      <c r="J47" s="212"/>
      <c r="K47" s="212"/>
      <c r="L47" s="212"/>
      <c r="M47" s="212"/>
      <c r="N47" s="212"/>
      <c r="O47" s="212"/>
      <c r="P47" s="212"/>
      <c r="Q47" s="212"/>
      <c r="R47" s="249"/>
      <c r="S47" s="249">
        <v>109800</v>
      </c>
      <c r="T47" s="212"/>
      <c r="U47" s="212"/>
      <c r="V47" s="212"/>
      <c r="W47" s="212"/>
      <c r="X47" s="212"/>
      <c r="Y47" s="212"/>
      <c r="Z47" s="212"/>
      <c r="AA47" s="212"/>
      <c r="AB47" s="212"/>
      <c r="AC47" s="212"/>
      <c r="AD47" s="212"/>
      <c r="AE47" s="212"/>
      <c r="AF47" s="212"/>
      <c r="AG47" s="212">
        <f>AH47</f>
        <v>28000</v>
      </c>
      <c r="AH47" s="212">
        <f>11000+17000</f>
        <v>28000</v>
      </c>
      <c r="AI47" s="212"/>
      <c r="AJ47" s="212"/>
      <c r="AK47" s="212">
        <f t="shared" ref="AK47:AN47" si="13">AK434</f>
        <v>19644</v>
      </c>
      <c r="AL47" s="212">
        <f t="shared" si="13"/>
        <v>19644</v>
      </c>
      <c r="AM47" s="212">
        <f t="shared" si="13"/>
        <v>0</v>
      </c>
      <c r="AN47" s="212">
        <f t="shared" si="13"/>
        <v>0</v>
      </c>
      <c r="AO47" s="212">
        <f>AP47</f>
        <v>20000</v>
      </c>
      <c r="AP47" s="212">
        <v>20000</v>
      </c>
      <c r="AQ47" s="212"/>
      <c r="AR47" s="212"/>
      <c r="AS47" s="212">
        <f>+AT47</f>
        <v>48000</v>
      </c>
      <c r="AT47" s="212">
        <f>+AU47</f>
        <v>48000</v>
      </c>
      <c r="AU47" s="212">
        <v>48000</v>
      </c>
      <c r="AV47" s="212">
        <f>AW47</f>
        <v>25000</v>
      </c>
      <c r="AW47" s="212">
        <v>25000</v>
      </c>
      <c r="AX47" s="212"/>
      <c r="AY47" s="212"/>
      <c r="AZ47" s="247"/>
    </row>
    <row r="48" spans="1:53" s="251" customFormat="1" ht="38.450000000000003" customHeight="1">
      <c r="A48" s="213" t="s">
        <v>845</v>
      </c>
      <c r="B48" s="522" t="s">
        <v>876</v>
      </c>
      <c r="C48" s="229"/>
      <c r="D48" s="229"/>
      <c r="E48" s="229"/>
      <c r="F48" s="229"/>
      <c r="G48" s="229"/>
      <c r="H48" s="229"/>
      <c r="I48" s="231"/>
      <c r="J48" s="215"/>
      <c r="K48" s="215"/>
      <c r="L48" s="215"/>
      <c r="M48" s="215"/>
      <c r="N48" s="215"/>
      <c r="O48" s="215"/>
      <c r="P48" s="215"/>
      <c r="Q48" s="215"/>
      <c r="R48" s="230"/>
      <c r="S48" s="230"/>
      <c r="T48" s="215"/>
      <c r="U48" s="215"/>
      <c r="V48" s="215"/>
      <c r="W48" s="215"/>
      <c r="X48" s="215"/>
      <c r="Y48" s="215"/>
      <c r="Z48" s="215"/>
      <c r="AA48" s="215">
        <f t="shared" ref="AA48:AF48" si="14">AA49+AA50+AA51+AA53</f>
        <v>1028</v>
      </c>
      <c r="AB48" s="215">
        <f t="shared" si="14"/>
        <v>1028</v>
      </c>
      <c r="AC48" s="215">
        <f t="shared" si="14"/>
        <v>0</v>
      </c>
      <c r="AD48" s="215">
        <f t="shared" si="14"/>
        <v>0</v>
      </c>
      <c r="AE48" s="215">
        <f t="shared" si="14"/>
        <v>0</v>
      </c>
      <c r="AF48" s="215">
        <f t="shared" si="14"/>
        <v>0</v>
      </c>
      <c r="AG48" s="215" t="e">
        <f>AG49+AG50+AG51+#REF!+AG53</f>
        <v>#REF!</v>
      </c>
      <c r="AH48" s="215" t="e">
        <f>AH49+AH50+AH51+#REF!+AH53</f>
        <v>#REF!</v>
      </c>
      <c r="AI48" s="215" t="e">
        <f>AI49+AI50+AI51+#REF!+AI53</f>
        <v>#REF!</v>
      </c>
      <c r="AJ48" s="215" t="e">
        <f>AJ49+AJ50+AJ51+#REF!+AJ53</f>
        <v>#REF!</v>
      </c>
      <c r="AK48" s="215" t="e">
        <f>AK49+AK50+AK51+#REF!+AK53</f>
        <v>#REF!</v>
      </c>
      <c r="AL48" s="215" t="e">
        <f>AL49+AL50+AL51+#REF!+AL53</f>
        <v>#REF!</v>
      </c>
      <c r="AM48" s="215" t="e">
        <f>AM49+AM50+AM51+#REF!+AM53</f>
        <v>#REF!</v>
      </c>
      <c r="AN48" s="215" t="e">
        <f>AN49+AN50+AN51+#REF!+AN53</f>
        <v>#REF!</v>
      </c>
      <c r="AO48" s="215" t="e">
        <f>AO49+AO50+AO51+#REF!+AO53</f>
        <v>#REF!</v>
      </c>
      <c r="AP48" s="215" t="e">
        <f>AP49+AP50+AP51+#REF!+AP53</f>
        <v>#REF!</v>
      </c>
      <c r="AQ48" s="215" t="e">
        <f>AQ49+AQ50+AQ51+#REF!+AQ53</f>
        <v>#REF!</v>
      </c>
      <c r="AR48" s="215" t="e">
        <f>AR49+AR50+AR51+#REF!+AR53</f>
        <v>#REF!</v>
      </c>
      <c r="AS48" s="215">
        <f>AS49+AS50+AS51+AS53</f>
        <v>0</v>
      </c>
      <c r="AT48" s="215">
        <f t="shared" ref="AT48:AY48" si="15">AT49+AT50+AT51+AT53</f>
        <v>0</v>
      </c>
      <c r="AU48" s="215">
        <f t="shared" si="15"/>
        <v>0</v>
      </c>
      <c r="AV48" s="215">
        <f>AV49+AV50+AV51+AV52+AV53</f>
        <v>14605</v>
      </c>
      <c r="AW48" s="215">
        <f>AW49+AW50+AW51+AW52+AW53</f>
        <v>14605</v>
      </c>
      <c r="AX48" s="215">
        <f t="shared" si="15"/>
        <v>0</v>
      </c>
      <c r="AY48" s="215">
        <f t="shared" si="15"/>
        <v>0</v>
      </c>
      <c r="AZ48" s="641"/>
      <c r="BA48" s="232"/>
    </row>
    <row r="49" spans="1:53" s="232" customFormat="1" ht="36.950000000000003" customHeight="1">
      <c r="A49" s="326">
        <v>1</v>
      </c>
      <c r="B49" s="308" t="s">
        <v>616</v>
      </c>
      <c r="C49" s="337"/>
      <c r="D49" s="337"/>
      <c r="E49" s="337"/>
      <c r="F49" s="337"/>
      <c r="G49" s="337"/>
      <c r="H49" s="337"/>
      <c r="I49" s="231"/>
      <c r="J49" s="242"/>
      <c r="K49" s="242"/>
      <c r="L49" s="242"/>
      <c r="M49" s="242"/>
      <c r="N49" s="242"/>
      <c r="O49" s="242"/>
      <c r="P49" s="212">
        <f t="shared" ref="P49:P51" si="16">L49+W49</f>
        <v>0</v>
      </c>
      <c r="Q49" s="212">
        <f t="shared" ref="Q49:Q51" si="17">M49+X49</f>
        <v>0</v>
      </c>
      <c r="R49" s="215"/>
      <c r="S49" s="215"/>
      <c r="T49" s="215"/>
      <c r="U49" s="215"/>
      <c r="V49" s="215"/>
      <c r="W49" s="242"/>
      <c r="X49" s="242"/>
      <c r="Y49" s="242"/>
      <c r="Z49" s="242"/>
      <c r="AA49" s="273">
        <v>492</v>
      </c>
      <c r="AB49" s="273">
        <v>492</v>
      </c>
      <c r="AC49" s="242"/>
      <c r="AD49" s="242"/>
      <c r="AE49" s="242"/>
      <c r="AF49" s="242"/>
      <c r="AG49" s="212">
        <f t="shared" ref="AG49:AG51" si="18">W49+AA49</f>
        <v>492</v>
      </c>
      <c r="AH49" s="212">
        <f t="shared" ref="AH49:AH51" si="19">X49+AB49</f>
        <v>492</v>
      </c>
      <c r="AI49" s="215"/>
      <c r="AJ49" s="215"/>
      <c r="AK49" s="215">
        <f t="shared" ref="AK49:AK51" si="20">AO49</f>
        <v>455</v>
      </c>
      <c r="AL49" s="215">
        <f t="shared" ref="AL49:AL51" si="21">AP49</f>
        <v>455</v>
      </c>
      <c r="AM49" s="215">
        <f t="shared" ref="AM49:AM51" si="22">AQ49</f>
        <v>0</v>
      </c>
      <c r="AN49" s="215">
        <f t="shared" ref="AN49:AN51" si="23">AR49</f>
        <v>0</v>
      </c>
      <c r="AO49" s="273">
        <f t="shared" ref="AO49:AO53" si="24">AP49</f>
        <v>455</v>
      </c>
      <c r="AP49" s="273">
        <v>455</v>
      </c>
      <c r="AQ49" s="273"/>
      <c r="AR49" s="242"/>
      <c r="AS49" s="242"/>
      <c r="AT49" s="242"/>
      <c r="AU49" s="242"/>
      <c r="AV49" s="542">
        <f>AW49</f>
        <v>417</v>
      </c>
      <c r="AW49" s="542">
        <v>417</v>
      </c>
      <c r="AX49" s="242"/>
      <c r="AY49" s="242"/>
      <c r="AZ49" s="303"/>
    </row>
    <row r="50" spans="1:53" s="232" customFormat="1" ht="41.1" customHeight="1">
      <c r="A50" s="326">
        <v>2</v>
      </c>
      <c r="B50" s="308" t="s">
        <v>920</v>
      </c>
      <c r="C50" s="337"/>
      <c r="D50" s="337"/>
      <c r="E50" s="337"/>
      <c r="F50" s="337"/>
      <c r="G50" s="337"/>
      <c r="H50" s="337"/>
      <c r="I50" s="231"/>
      <c r="J50" s="242"/>
      <c r="K50" s="242"/>
      <c r="L50" s="242"/>
      <c r="M50" s="242"/>
      <c r="N50" s="242"/>
      <c r="O50" s="242"/>
      <c r="P50" s="212">
        <f t="shared" si="16"/>
        <v>0</v>
      </c>
      <c r="Q50" s="212">
        <f t="shared" si="17"/>
        <v>0</v>
      </c>
      <c r="R50" s="215"/>
      <c r="S50" s="215"/>
      <c r="T50" s="215"/>
      <c r="U50" s="215"/>
      <c r="V50" s="215"/>
      <c r="W50" s="242"/>
      <c r="X50" s="242"/>
      <c r="Y50" s="242"/>
      <c r="Z50" s="242"/>
      <c r="AA50" s="273">
        <v>483</v>
      </c>
      <c r="AB50" s="273">
        <v>483</v>
      </c>
      <c r="AC50" s="242"/>
      <c r="AD50" s="242"/>
      <c r="AE50" s="242"/>
      <c r="AF50" s="242"/>
      <c r="AG50" s="212">
        <f t="shared" si="18"/>
        <v>483</v>
      </c>
      <c r="AH50" s="212">
        <f t="shared" si="19"/>
        <v>483</v>
      </c>
      <c r="AI50" s="215"/>
      <c r="AJ50" s="215"/>
      <c r="AK50" s="215">
        <f t="shared" si="20"/>
        <v>916</v>
      </c>
      <c r="AL50" s="215">
        <f t="shared" si="21"/>
        <v>916</v>
      </c>
      <c r="AM50" s="215">
        <f t="shared" si="22"/>
        <v>0</v>
      </c>
      <c r="AN50" s="215">
        <f t="shared" si="23"/>
        <v>0</v>
      </c>
      <c r="AO50" s="273">
        <f t="shared" si="24"/>
        <v>916</v>
      </c>
      <c r="AP50" s="273">
        <v>916</v>
      </c>
      <c r="AQ50" s="273"/>
      <c r="AR50" s="242"/>
      <c r="AS50" s="242"/>
      <c r="AT50" s="242"/>
      <c r="AU50" s="242"/>
      <c r="AV50" s="542">
        <f>AW50</f>
        <v>647</v>
      </c>
      <c r="AW50" s="542">
        <v>647</v>
      </c>
      <c r="AX50" s="242"/>
      <c r="AY50" s="242"/>
      <c r="AZ50" s="303"/>
    </row>
    <row r="51" spans="1:53" s="232" customFormat="1" ht="47.1" customHeight="1">
      <c r="A51" s="326">
        <v>3</v>
      </c>
      <c r="B51" s="358" t="s">
        <v>847</v>
      </c>
      <c r="C51" s="337"/>
      <c r="D51" s="337"/>
      <c r="E51" s="337"/>
      <c r="F51" s="337"/>
      <c r="G51" s="337"/>
      <c r="H51" s="337"/>
      <c r="I51" s="231"/>
      <c r="J51" s="242"/>
      <c r="K51" s="242"/>
      <c r="L51" s="242"/>
      <c r="M51" s="242"/>
      <c r="N51" s="242"/>
      <c r="O51" s="242"/>
      <c r="P51" s="212">
        <f t="shared" si="16"/>
        <v>0</v>
      </c>
      <c r="Q51" s="212">
        <f t="shared" si="17"/>
        <v>0</v>
      </c>
      <c r="R51" s="215"/>
      <c r="S51" s="215"/>
      <c r="T51" s="215"/>
      <c r="U51" s="215"/>
      <c r="V51" s="215"/>
      <c r="W51" s="242"/>
      <c r="X51" s="242"/>
      <c r="Y51" s="242"/>
      <c r="Z51" s="242"/>
      <c r="AA51" s="273">
        <v>53</v>
      </c>
      <c r="AB51" s="273">
        <v>53</v>
      </c>
      <c r="AC51" s="242"/>
      <c r="AD51" s="242"/>
      <c r="AE51" s="242"/>
      <c r="AF51" s="242"/>
      <c r="AG51" s="212">
        <f t="shared" si="18"/>
        <v>53</v>
      </c>
      <c r="AH51" s="212">
        <f t="shared" si="19"/>
        <v>53</v>
      </c>
      <c r="AI51" s="215"/>
      <c r="AJ51" s="215"/>
      <c r="AK51" s="215">
        <f t="shared" si="20"/>
        <v>172</v>
      </c>
      <c r="AL51" s="215">
        <f t="shared" si="21"/>
        <v>172</v>
      </c>
      <c r="AM51" s="215">
        <f t="shared" si="22"/>
        <v>0</v>
      </c>
      <c r="AN51" s="215">
        <f t="shared" si="23"/>
        <v>0</v>
      </c>
      <c r="AO51" s="273">
        <f t="shared" si="24"/>
        <v>172</v>
      </c>
      <c r="AP51" s="273">
        <v>172</v>
      </c>
      <c r="AQ51" s="273"/>
      <c r="AR51" s="242"/>
      <c r="AS51" s="242"/>
      <c r="AT51" s="242"/>
      <c r="AU51" s="242"/>
      <c r="AV51" s="542">
        <f>AW51</f>
        <v>197</v>
      </c>
      <c r="AW51" s="542">
        <v>197</v>
      </c>
      <c r="AX51" s="242"/>
      <c r="AY51" s="242"/>
      <c r="AZ51" s="303"/>
    </row>
    <row r="52" spans="1:53" s="232" customFormat="1" ht="45.75" customHeight="1">
      <c r="A52" s="326">
        <v>4</v>
      </c>
      <c r="B52" s="358" t="s">
        <v>978</v>
      </c>
      <c r="C52" s="337"/>
      <c r="D52" s="337"/>
      <c r="E52" s="337"/>
      <c r="F52" s="337"/>
      <c r="G52" s="337"/>
      <c r="H52" s="337"/>
      <c r="I52" s="231"/>
      <c r="J52" s="242"/>
      <c r="K52" s="242"/>
      <c r="L52" s="242"/>
      <c r="M52" s="242"/>
      <c r="N52" s="242"/>
      <c r="O52" s="242"/>
      <c r="P52" s="212"/>
      <c r="Q52" s="212"/>
      <c r="R52" s="215"/>
      <c r="S52" s="215"/>
      <c r="T52" s="215"/>
      <c r="U52" s="215"/>
      <c r="V52" s="215"/>
      <c r="W52" s="242"/>
      <c r="X52" s="242"/>
      <c r="Y52" s="242"/>
      <c r="Z52" s="242"/>
      <c r="AA52" s="273"/>
      <c r="AB52" s="273"/>
      <c r="AC52" s="242"/>
      <c r="AD52" s="242"/>
      <c r="AE52" s="242"/>
      <c r="AF52" s="242"/>
      <c r="AG52" s="212"/>
      <c r="AH52" s="212"/>
      <c r="AI52" s="215"/>
      <c r="AJ52" s="215"/>
      <c r="AK52" s="215"/>
      <c r="AL52" s="215"/>
      <c r="AM52" s="215"/>
      <c r="AN52" s="215"/>
      <c r="AO52" s="273"/>
      <c r="AP52" s="273"/>
      <c r="AQ52" s="273"/>
      <c r="AR52" s="242"/>
      <c r="AS52" s="242"/>
      <c r="AT52" s="242"/>
      <c r="AU52" s="242"/>
      <c r="AV52" s="542">
        <f>AW52</f>
        <v>44</v>
      </c>
      <c r="AW52" s="542">
        <v>44</v>
      </c>
      <c r="AX52" s="242"/>
      <c r="AY52" s="242"/>
      <c r="AZ52" s="303"/>
    </row>
    <row r="53" spans="1:53" s="232" customFormat="1" ht="47.1" customHeight="1">
      <c r="A53" s="326">
        <v>5</v>
      </c>
      <c r="B53" s="358" t="s">
        <v>921</v>
      </c>
      <c r="C53" s="337"/>
      <c r="D53" s="337"/>
      <c r="E53" s="337"/>
      <c r="F53" s="337"/>
      <c r="G53" s="337"/>
      <c r="H53" s="337"/>
      <c r="I53" s="231"/>
      <c r="J53" s="242"/>
      <c r="K53" s="242"/>
      <c r="L53" s="242"/>
      <c r="M53" s="242"/>
      <c r="N53" s="242"/>
      <c r="O53" s="242"/>
      <c r="P53" s="212"/>
      <c r="Q53" s="212"/>
      <c r="R53" s="215"/>
      <c r="S53" s="215"/>
      <c r="T53" s="215"/>
      <c r="U53" s="215"/>
      <c r="V53" s="215"/>
      <c r="W53" s="242"/>
      <c r="X53" s="242"/>
      <c r="Y53" s="242"/>
      <c r="Z53" s="242"/>
      <c r="AA53" s="273"/>
      <c r="AB53" s="273"/>
      <c r="AC53" s="242"/>
      <c r="AD53" s="242"/>
      <c r="AE53" s="242"/>
      <c r="AF53" s="242"/>
      <c r="AG53" s="215"/>
      <c r="AH53" s="215"/>
      <c r="AI53" s="215"/>
      <c r="AJ53" s="215"/>
      <c r="AK53" s="215"/>
      <c r="AL53" s="215"/>
      <c r="AM53" s="215"/>
      <c r="AN53" s="215"/>
      <c r="AO53" s="273">
        <f t="shared" si="24"/>
        <v>22400</v>
      </c>
      <c r="AP53" s="273">
        <v>22400</v>
      </c>
      <c r="AQ53" s="273"/>
      <c r="AR53" s="242"/>
      <c r="AS53" s="242"/>
      <c r="AT53" s="242"/>
      <c r="AU53" s="242"/>
      <c r="AV53" s="542">
        <f>AW53</f>
        <v>13300</v>
      </c>
      <c r="AW53" s="542">
        <v>13300</v>
      </c>
      <c r="AX53" s="242"/>
      <c r="AY53" s="242"/>
      <c r="AZ53" s="303"/>
    </row>
    <row r="54" spans="1:53" ht="26.25" customHeight="1">
      <c r="A54" s="209"/>
      <c r="B54" s="219"/>
      <c r="C54" s="243"/>
      <c r="D54" s="243"/>
      <c r="E54" s="243"/>
      <c r="F54" s="243"/>
      <c r="G54" s="243"/>
      <c r="H54" s="243"/>
      <c r="I54" s="248"/>
      <c r="J54" s="212"/>
      <c r="K54" s="212"/>
      <c r="L54" s="212"/>
      <c r="M54" s="212"/>
      <c r="N54" s="212"/>
      <c r="O54" s="212"/>
      <c r="P54" s="212"/>
      <c r="Q54" s="212"/>
      <c r="R54" s="249"/>
      <c r="S54" s="249"/>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47"/>
    </row>
    <row r="55" spans="1:53" s="251" customFormat="1" ht="38.450000000000003" customHeight="1">
      <c r="A55" s="213" t="s">
        <v>82</v>
      </c>
      <c r="B55" s="214" t="s">
        <v>316</v>
      </c>
      <c r="C55" s="229"/>
      <c r="D55" s="229"/>
      <c r="E55" s="229"/>
      <c r="F55" s="229"/>
      <c r="G55" s="229"/>
      <c r="H55" s="229"/>
      <c r="I55" s="231"/>
      <c r="J55" s="215"/>
      <c r="K55" s="215"/>
      <c r="L55" s="215"/>
      <c r="M55" s="215"/>
      <c r="N55" s="215"/>
      <c r="O55" s="215"/>
      <c r="P55" s="215"/>
      <c r="Q55" s="215"/>
      <c r="R55" s="215"/>
      <c r="S55" s="215">
        <f t="shared" ref="S55:AY55" si="25">S58+S434+S457</f>
        <v>2016618.7000000002</v>
      </c>
      <c r="T55" s="215">
        <f t="shared" si="25"/>
        <v>0</v>
      </c>
      <c r="U55" s="215">
        <f t="shared" si="25"/>
        <v>6850</v>
      </c>
      <c r="V55" s="215">
        <f t="shared" si="25"/>
        <v>2048504.5</v>
      </c>
      <c r="W55" s="215">
        <f t="shared" si="25"/>
        <v>136088.5</v>
      </c>
      <c r="X55" s="215">
        <f t="shared" si="25"/>
        <v>89985.5</v>
      </c>
      <c r="Y55" s="215">
        <f t="shared" si="25"/>
        <v>0</v>
      </c>
      <c r="Z55" s="215">
        <f t="shared" si="25"/>
        <v>6850</v>
      </c>
      <c r="AA55" s="215">
        <f t="shared" si="25"/>
        <v>466056</v>
      </c>
      <c r="AB55" s="215">
        <f t="shared" si="25"/>
        <v>395834</v>
      </c>
      <c r="AC55" s="215">
        <f t="shared" si="25"/>
        <v>1000</v>
      </c>
      <c r="AD55" s="215">
        <f t="shared" si="25"/>
        <v>0</v>
      </c>
      <c r="AE55" s="215">
        <f t="shared" si="25"/>
        <v>62916.157263000001</v>
      </c>
      <c r="AF55" s="215">
        <f t="shared" si="25"/>
        <v>120233.213611</v>
      </c>
      <c r="AG55" s="215" t="e">
        <f t="shared" si="25"/>
        <v>#REF!</v>
      </c>
      <c r="AH55" s="215" t="e">
        <f t="shared" si="25"/>
        <v>#REF!</v>
      </c>
      <c r="AI55" s="215" t="e">
        <f t="shared" si="25"/>
        <v>#REF!</v>
      </c>
      <c r="AJ55" s="215" t="e">
        <f t="shared" si="25"/>
        <v>#REF!</v>
      </c>
      <c r="AK55" s="215" t="e">
        <f t="shared" si="25"/>
        <v>#REF!</v>
      </c>
      <c r="AL55" s="215" t="e">
        <f t="shared" si="25"/>
        <v>#REF!</v>
      </c>
      <c r="AM55" s="215" t="e">
        <f t="shared" si="25"/>
        <v>#REF!</v>
      </c>
      <c r="AN55" s="215" t="e">
        <f t="shared" si="25"/>
        <v>#REF!</v>
      </c>
      <c r="AO55" s="215" t="e">
        <f t="shared" si="25"/>
        <v>#REF!</v>
      </c>
      <c r="AP55" s="215" t="e">
        <f t="shared" si="25"/>
        <v>#REF!</v>
      </c>
      <c r="AQ55" s="215" t="e">
        <f t="shared" si="25"/>
        <v>#REF!</v>
      </c>
      <c r="AR55" s="215" t="e">
        <f t="shared" si="25"/>
        <v>#REF!</v>
      </c>
      <c r="AS55" s="215">
        <f t="shared" si="25"/>
        <v>2602667.5</v>
      </c>
      <c r="AT55" s="215">
        <f t="shared" si="25"/>
        <v>956201.5</v>
      </c>
      <c r="AU55" s="215">
        <f t="shared" si="25"/>
        <v>795027.5</v>
      </c>
      <c r="AV55" s="215">
        <f t="shared" si="25"/>
        <v>708747</v>
      </c>
      <c r="AW55" s="215">
        <f t="shared" si="25"/>
        <v>645975</v>
      </c>
      <c r="AX55" s="215">
        <f t="shared" si="25"/>
        <v>20000</v>
      </c>
      <c r="AY55" s="215">
        <f t="shared" si="25"/>
        <v>0</v>
      </c>
      <c r="AZ55" s="250"/>
      <c r="BA55" s="232"/>
    </row>
    <row r="56" spans="1:53" s="257" customFormat="1" ht="75.75" customHeight="1">
      <c r="A56" s="278"/>
      <c r="B56" s="643" t="s">
        <v>1032</v>
      </c>
      <c r="C56" s="255"/>
      <c r="D56" s="255"/>
      <c r="E56" s="255"/>
      <c r="F56" s="255"/>
      <c r="G56" s="255"/>
      <c r="H56" s="255"/>
      <c r="I56" s="256"/>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f>+AW56</f>
        <v>20000</v>
      </c>
      <c r="AW56" s="277">
        <v>20000</v>
      </c>
      <c r="AX56" s="277">
        <v>20000</v>
      </c>
      <c r="AY56" s="277"/>
      <c r="AZ56" s="255" t="s">
        <v>973</v>
      </c>
      <c r="BA56" s="533"/>
    </row>
    <row r="57" spans="1:53" s="533" customFormat="1" ht="31.5" customHeight="1">
      <c r="A57" s="532"/>
      <c r="B57" s="515" t="s">
        <v>317</v>
      </c>
      <c r="C57" s="534"/>
      <c r="D57" s="534"/>
      <c r="E57" s="534"/>
      <c r="F57" s="534"/>
      <c r="G57" s="534"/>
      <c r="H57" s="534"/>
      <c r="I57" s="503"/>
      <c r="J57" s="504"/>
      <c r="K57" s="504"/>
      <c r="L57" s="504"/>
      <c r="M57" s="504"/>
      <c r="N57" s="504"/>
      <c r="O57" s="504"/>
      <c r="P57" s="277"/>
      <c r="Q57" s="277"/>
      <c r="R57" s="516"/>
      <c r="S57" s="516"/>
      <c r="T57" s="504"/>
      <c r="U57" s="504"/>
      <c r="V57" s="277"/>
      <c r="W57" s="277"/>
      <c r="X57" s="277"/>
      <c r="Y57" s="277"/>
      <c r="Z57" s="277"/>
      <c r="AA57" s="277"/>
      <c r="AB57" s="277"/>
      <c r="AC57" s="277"/>
      <c r="AD57" s="277"/>
      <c r="AE57" s="277"/>
      <c r="AF57" s="277"/>
      <c r="AG57" s="277"/>
      <c r="AH57" s="277"/>
      <c r="AI57" s="277"/>
      <c r="AJ57" s="277"/>
      <c r="AK57" s="277" t="e">
        <f>AL57</f>
        <v>#REF!</v>
      </c>
      <c r="AL57" s="277" t="e">
        <f>AP57</f>
        <v>#REF!</v>
      </c>
      <c r="AM57" s="277"/>
      <c r="AN57" s="277"/>
      <c r="AO57" s="277" t="e">
        <f>AP57</f>
        <v>#REF!</v>
      </c>
      <c r="AP57" s="277" t="e">
        <f>(AP55-AP48)*20%</f>
        <v>#REF!</v>
      </c>
      <c r="AQ57" s="277"/>
      <c r="AR57" s="277"/>
      <c r="AS57" s="277"/>
      <c r="AT57" s="277"/>
      <c r="AU57" s="277"/>
      <c r="AV57" s="277">
        <f>+AW57</f>
        <v>110297</v>
      </c>
      <c r="AW57" s="277">
        <v>110297</v>
      </c>
      <c r="AX57" s="277"/>
      <c r="AY57" s="277"/>
      <c r="AZ57" s="517"/>
      <c r="BA57" s="656">
        <f>SUM(BA58:BA463)</f>
        <v>106125</v>
      </c>
    </row>
    <row r="58" spans="1:53" s="251" customFormat="1" ht="34.5" customHeight="1">
      <c r="A58" s="213" t="s">
        <v>318</v>
      </c>
      <c r="B58" s="214" t="s">
        <v>319</v>
      </c>
      <c r="C58" s="229"/>
      <c r="D58" s="229"/>
      <c r="E58" s="229"/>
      <c r="F58" s="229"/>
      <c r="G58" s="229"/>
      <c r="H58" s="229"/>
      <c r="I58" s="231"/>
      <c r="J58" s="215">
        <f t="shared" ref="J58:AH58" si="26">J60+J84+J117+J137+J161+J180+J203+J233+J259+J284+J297+J327+J332+J358+J398+J415</f>
        <v>7446266.2999999998</v>
      </c>
      <c r="K58" s="215">
        <f t="shared" si="26"/>
        <v>2400276.5</v>
      </c>
      <c r="L58" s="215">
        <f t="shared" si="26"/>
        <v>806752.69</v>
      </c>
      <c r="M58" s="215">
        <f t="shared" si="26"/>
        <v>25655</v>
      </c>
      <c r="N58" s="215">
        <f t="shared" si="26"/>
        <v>319043</v>
      </c>
      <c r="O58" s="215">
        <f t="shared" si="26"/>
        <v>106234</v>
      </c>
      <c r="P58" s="215">
        <f t="shared" si="26"/>
        <v>950134.19</v>
      </c>
      <c r="Q58" s="215">
        <f t="shared" si="26"/>
        <v>115606.5</v>
      </c>
      <c r="R58" s="215">
        <f t="shared" si="26"/>
        <v>3234568</v>
      </c>
      <c r="S58" s="215">
        <f t="shared" si="26"/>
        <v>1926711.7000000002</v>
      </c>
      <c r="T58" s="215">
        <f t="shared" si="26"/>
        <v>0</v>
      </c>
      <c r="U58" s="215">
        <f t="shared" si="26"/>
        <v>6850</v>
      </c>
      <c r="V58" s="215">
        <f t="shared" si="26"/>
        <v>2037933.5</v>
      </c>
      <c r="W58" s="215">
        <f t="shared" si="26"/>
        <v>136088.5</v>
      </c>
      <c r="X58" s="215">
        <f t="shared" si="26"/>
        <v>89985.5</v>
      </c>
      <c r="Y58" s="215">
        <f t="shared" si="26"/>
        <v>0</v>
      </c>
      <c r="Z58" s="215">
        <f t="shared" si="26"/>
        <v>6850</v>
      </c>
      <c r="AA58" s="215">
        <f t="shared" si="26"/>
        <v>313988</v>
      </c>
      <c r="AB58" s="215">
        <f t="shared" si="26"/>
        <v>243766</v>
      </c>
      <c r="AC58" s="215">
        <f t="shared" si="26"/>
        <v>1000</v>
      </c>
      <c r="AD58" s="215">
        <f t="shared" si="26"/>
        <v>0</v>
      </c>
      <c r="AE58" s="215">
        <f t="shared" si="26"/>
        <v>62916.157263000001</v>
      </c>
      <c r="AF58" s="215">
        <f t="shared" si="26"/>
        <v>120233.213611</v>
      </c>
      <c r="AG58" s="215">
        <f t="shared" si="26"/>
        <v>469759.5</v>
      </c>
      <c r="AH58" s="215">
        <f t="shared" si="26"/>
        <v>339975.5</v>
      </c>
      <c r="AI58" s="215"/>
      <c r="AJ58" s="215"/>
      <c r="AK58" s="215">
        <f t="shared" ref="AK58:AY58" si="27">AK60+AK84+AK117+AK137+AK161+AK180+AK203+AK233+AK259+AK284+AK297+AK327+AK332+AK358+AK398+AK415</f>
        <v>574889.33333333337</v>
      </c>
      <c r="AL58" s="215">
        <f t="shared" si="27"/>
        <v>547072.33333333337</v>
      </c>
      <c r="AM58" s="215">
        <f t="shared" si="27"/>
        <v>1000</v>
      </c>
      <c r="AN58" s="215">
        <f t="shared" si="27"/>
        <v>0</v>
      </c>
      <c r="AO58" s="215">
        <f t="shared" si="27"/>
        <v>445282</v>
      </c>
      <c r="AP58" s="215">
        <f t="shared" si="27"/>
        <v>416665</v>
      </c>
      <c r="AQ58" s="215">
        <f t="shared" si="27"/>
        <v>1000</v>
      </c>
      <c r="AR58" s="215">
        <f t="shared" si="27"/>
        <v>0</v>
      </c>
      <c r="AS58" s="215">
        <f t="shared" si="27"/>
        <v>2566856.5</v>
      </c>
      <c r="AT58" s="215">
        <f t="shared" si="27"/>
        <v>888390.5</v>
      </c>
      <c r="AU58" s="215">
        <f t="shared" si="27"/>
        <v>763906.5</v>
      </c>
      <c r="AV58" s="215">
        <f t="shared" si="27"/>
        <v>669142</v>
      </c>
      <c r="AW58" s="215">
        <f>AW60+AW84+AW117+AW137+AW161+AW180+AW203+AW233+AW259+AW284+AW297+AW327+AW332+AW358+AW398+AW415</f>
        <v>606370</v>
      </c>
      <c r="AX58" s="215">
        <f t="shared" si="27"/>
        <v>20000</v>
      </c>
      <c r="AY58" s="215">
        <f t="shared" si="27"/>
        <v>0</v>
      </c>
      <c r="AZ58" s="250"/>
      <c r="BA58" s="232"/>
    </row>
    <row r="59" spans="1:53" s="232" customFormat="1" ht="26.25" customHeight="1">
      <c r="A59" s="227"/>
      <c r="B59" s="228" t="s">
        <v>327</v>
      </c>
      <c r="C59" s="229"/>
      <c r="D59" s="229"/>
      <c r="E59" s="229"/>
      <c r="F59" s="229"/>
      <c r="G59" s="229"/>
      <c r="H59" s="229"/>
      <c r="I59" s="231"/>
      <c r="J59" s="215"/>
      <c r="K59" s="215"/>
      <c r="L59" s="215"/>
      <c r="M59" s="215"/>
      <c r="N59" s="215"/>
      <c r="O59" s="215"/>
      <c r="P59" s="215"/>
      <c r="Q59" s="215"/>
      <c r="R59" s="215"/>
      <c r="S59" s="215"/>
      <c r="T59" s="215"/>
      <c r="U59" s="215"/>
      <c r="V59" s="215"/>
      <c r="W59" s="215"/>
      <c r="X59" s="215"/>
      <c r="Y59" s="215"/>
      <c r="Z59" s="215"/>
      <c r="AA59" s="215"/>
      <c r="AB59" s="215">
        <v>44377</v>
      </c>
      <c r="AC59" s="215"/>
      <c r="AD59" s="215"/>
      <c r="AE59" s="215"/>
      <c r="AF59" s="215"/>
      <c r="AG59" s="215"/>
      <c r="AH59" s="215"/>
      <c r="AI59" s="215"/>
      <c r="AJ59" s="215"/>
      <c r="AK59" s="215"/>
      <c r="AL59" s="215"/>
      <c r="AM59" s="215"/>
      <c r="AN59" s="215"/>
      <c r="AO59" s="215"/>
      <c r="AP59" s="215">
        <v>46526.77364856167</v>
      </c>
      <c r="AQ59" s="215"/>
      <c r="AR59" s="215"/>
      <c r="AS59" s="215"/>
      <c r="AT59" s="215"/>
      <c r="AU59" s="215"/>
      <c r="AV59" s="215"/>
      <c r="AW59" s="215">
        <v>53002</v>
      </c>
      <c r="AX59" s="215"/>
      <c r="AY59" s="215"/>
      <c r="AZ59" s="247"/>
    </row>
    <row r="60" spans="1:53" s="251" customFormat="1" ht="29.25" customHeight="1">
      <c r="A60" s="252" t="s">
        <v>32</v>
      </c>
      <c r="B60" s="253" t="s">
        <v>328</v>
      </c>
      <c r="C60" s="229"/>
      <c r="D60" s="229"/>
      <c r="E60" s="229"/>
      <c r="F60" s="229"/>
      <c r="G60" s="657"/>
      <c r="H60" s="229"/>
      <c r="I60" s="231"/>
      <c r="J60" s="242">
        <f t="shared" ref="J60:AY60" si="28">J61+J71+J76</f>
        <v>523656.69999999995</v>
      </c>
      <c r="K60" s="242">
        <f t="shared" si="28"/>
        <v>285632.90000000002</v>
      </c>
      <c r="L60" s="242">
        <f t="shared" si="28"/>
        <v>66406</v>
      </c>
      <c r="M60" s="242">
        <f t="shared" si="28"/>
        <v>0</v>
      </c>
      <c r="N60" s="242">
        <f t="shared" si="28"/>
        <v>48184</v>
      </c>
      <c r="O60" s="242">
        <f t="shared" si="28"/>
        <v>0</v>
      </c>
      <c r="P60" s="242">
        <f t="shared" si="28"/>
        <v>76617</v>
      </c>
      <c r="Q60" s="242">
        <f t="shared" si="28"/>
        <v>10211</v>
      </c>
      <c r="R60" s="242">
        <f t="shared" si="28"/>
        <v>216330</v>
      </c>
      <c r="S60" s="242">
        <f t="shared" si="28"/>
        <v>195558</v>
      </c>
      <c r="T60" s="242">
        <f t="shared" si="28"/>
        <v>0</v>
      </c>
      <c r="U60" s="242">
        <f t="shared" si="28"/>
        <v>0</v>
      </c>
      <c r="V60" s="242">
        <f t="shared" si="28"/>
        <v>80736</v>
      </c>
      <c r="W60" s="242">
        <f t="shared" si="28"/>
        <v>2918</v>
      </c>
      <c r="X60" s="242">
        <f t="shared" si="28"/>
        <v>10245</v>
      </c>
      <c r="Y60" s="242">
        <f t="shared" si="28"/>
        <v>0</v>
      </c>
      <c r="Z60" s="242">
        <f t="shared" si="28"/>
        <v>0</v>
      </c>
      <c r="AA60" s="242">
        <f t="shared" si="28"/>
        <v>25000</v>
      </c>
      <c r="AB60" s="242">
        <f t="shared" si="28"/>
        <v>19000</v>
      </c>
      <c r="AC60" s="242">
        <f t="shared" si="28"/>
        <v>0</v>
      </c>
      <c r="AD60" s="242">
        <f t="shared" si="28"/>
        <v>0</v>
      </c>
      <c r="AE60" s="242">
        <f t="shared" si="28"/>
        <v>3318.98</v>
      </c>
      <c r="AF60" s="242">
        <f t="shared" si="28"/>
        <v>4481.5959999999995</v>
      </c>
      <c r="AG60" s="242">
        <f t="shared" si="28"/>
        <v>36263</v>
      </c>
      <c r="AH60" s="242">
        <f t="shared" si="28"/>
        <v>30263</v>
      </c>
      <c r="AI60" s="242">
        <f t="shared" si="28"/>
        <v>13373</v>
      </c>
      <c r="AJ60" s="242">
        <f t="shared" si="28"/>
        <v>13373</v>
      </c>
      <c r="AK60" s="242">
        <f t="shared" si="28"/>
        <v>40100</v>
      </c>
      <c r="AL60" s="242">
        <f t="shared" si="28"/>
        <v>40100</v>
      </c>
      <c r="AM60" s="242">
        <f t="shared" si="28"/>
        <v>0</v>
      </c>
      <c r="AN60" s="242">
        <f t="shared" si="28"/>
        <v>0</v>
      </c>
      <c r="AO60" s="242">
        <f t="shared" si="28"/>
        <v>41987</v>
      </c>
      <c r="AP60" s="242">
        <f t="shared" si="28"/>
        <v>41987</v>
      </c>
      <c r="AQ60" s="242">
        <f t="shared" si="28"/>
        <v>0</v>
      </c>
      <c r="AR60" s="242">
        <f t="shared" si="28"/>
        <v>0</v>
      </c>
      <c r="AS60" s="242">
        <f t="shared" si="28"/>
        <v>122723</v>
      </c>
      <c r="AT60" s="242">
        <f t="shared" si="28"/>
        <v>72216</v>
      </c>
      <c r="AU60" s="242">
        <f t="shared" si="28"/>
        <v>72216</v>
      </c>
      <c r="AV60" s="242">
        <f t="shared" si="28"/>
        <v>53002</v>
      </c>
      <c r="AW60" s="242">
        <f t="shared" si="28"/>
        <v>53002</v>
      </c>
      <c r="AX60" s="242">
        <f t="shared" si="28"/>
        <v>10000</v>
      </c>
      <c r="AY60" s="242">
        <f t="shared" si="28"/>
        <v>0</v>
      </c>
      <c r="AZ60" s="247"/>
      <c r="BA60" s="232"/>
    </row>
    <row r="61" spans="1:53" s="232" customFormat="1" ht="43.5" customHeight="1">
      <c r="A61" s="548" t="s">
        <v>33</v>
      </c>
      <c r="B61" s="540" t="s">
        <v>1029</v>
      </c>
      <c r="C61" s="337"/>
      <c r="D61" s="337"/>
      <c r="E61" s="337"/>
      <c r="F61" s="337"/>
      <c r="G61" s="549"/>
      <c r="H61" s="337"/>
      <c r="I61" s="523"/>
      <c r="J61" s="355">
        <f>J62+J64</f>
        <v>136068.9</v>
      </c>
      <c r="K61" s="355">
        <f t="shared" ref="K61:AY61" si="29">K62+K64</f>
        <v>85334.9</v>
      </c>
      <c r="L61" s="355">
        <f t="shared" si="29"/>
        <v>48184</v>
      </c>
      <c r="M61" s="355">
        <f t="shared" si="29"/>
        <v>0</v>
      </c>
      <c r="N61" s="355">
        <f t="shared" si="29"/>
        <v>48184</v>
      </c>
      <c r="O61" s="355">
        <f t="shared" si="29"/>
        <v>0</v>
      </c>
      <c r="P61" s="355">
        <f t="shared" si="29"/>
        <v>58310</v>
      </c>
      <c r="Q61" s="355">
        <f t="shared" si="29"/>
        <v>10126</v>
      </c>
      <c r="R61" s="355">
        <f t="shared" si="29"/>
        <v>81869</v>
      </c>
      <c r="S61" s="355">
        <f t="shared" si="29"/>
        <v>79319</v>
      </c>
      <c r="T61" s="355">
        <f t="shared" si="29"/>
        <v>0</v>
      </c>
      <c r="U61" s="355">
        <f t="shared" si="29"/>
        <v>0</v>
      </c>
      <c r="V61" s="355">
        <f t="shared" si="29"/>
        <v>80736</v>
      </c>
      <c r="W61" s="355">
        <f t="shared" si="29"/>
        <v>2799</v>
      </c>
      <c r="X61" s="355">
        <f t="shared" si="29"/>
        <v>10126</v>
      </c>
      <c r="Y61" s="355">
        <f t="shared" si="29"/>
        <v>0</v>
      </c>
      <c r="Z61" s="355">
        <f t="shared" si="29"/>
        <v>0</v>
      </c>
      <c r="AA61" s="355">
        <f t="shared" si="29"/>
        <v>25000</v>
      </c>
      <c r="AB61" s="355">
        <f t="shared" si="29"/>
        <v>19000</v>
      </c>
      <c r="AC61" s="355">
        <f t="shared" si="29"/>
        <v>0</v>
      </c>
      <c r="AD61" s="355">
        <f t="shared" si="29"/>
        <v>0</v>
      </c>
      <c r="AE61" s="355">
        <f t="shared" si="29"/>
        <v>3318.98</v>
      </c>
      <c r="AF61" s="355">
        <f t="shared" si="29"/>
        <v>4481.5959999999995</v>
      </c>
      <c r="AG61" s="355">
        <f t="shared" si="29"/>
        <v>35126</v>
      </c>
      <c r="AH61" s="355">
        <f t="shared" si="29"/>
        <v>29126</v>
      </c>
      <c r="AI61" s="355">
        <f t="shared" ref="AI61:AJ61" si="30">AI62+AI64</f>
        <v>13373</v>
      </c>
      <c r="AJ61" s="355">
        <f t="shared" si="30"/>
        <v>13373</v>
      </c>
      <c r="AK61" s="355">
        <f t="shared" si="29"/>
        <v>28500</v>
      </c>
      <c r="AL61" s="355">
        <f t="shared" si="29"/>
        <v>28500</v>
      </c>
      <c r="AM61" s="355">
        <f t="shared" si="29"/>
        <v>0</v>
      </c>
      <c r="AN61" s="355">
        <f t="shared" si="29"/>
        <v>0</v>
      </c>
      <c r="AO61" s="355">
        <f t="shared" si="29"/>
        <v>26500</v>
      </c>
      <c r="AP61" s="355">
        <f>AP62+AP64</f>
        <v>26500</v>
      </c>
      <c r="AQ61" s="355">
        <f t="shared" si="29"/>
        <v>0</v>
      </c>
      <c r="AR61" s="355">
        <f t="shared" si="29"/>
        <v>0</v>
      </c>
      <c r="AS61" s="215">
        <f t="shared" si="29"/>
        <v>107236</v>
      </c>
      <c r="AT61" s="215">
        <f t="shared" si="29"/>
        <v>55626</v>
      </c>
      <c r="AU61" s="215">
        <f t="shared" si="29"/>
        <v>55626</v>
      </c>
      <c r="AV61" s="215">
        <f t="shared" si="29"/>
        <v>17802</v>
      </c>
      <c r="AW61" s="215">
        <f>AW62+AW64</f>
        <v>17802</v>
      </c>
      <c r="AX61" s="215">
        <f t="shared" si="29"/>
        <v>0</v>
      </c>
      <c r="AY61" s="215">
        <f t="shared" si="29"/>
        <v>0</v>
      </c>
      <c r="AZ61" s="337"/>
    </row>
    <row r="62" spans="1:53" s="257" customFormat="1" ht="29.25" customHeight="1">
      <c r="A62" s="237" t="s">
        <v>35</v>
      </c>
      <c r="B62" s="234" t="s">
        <v>43</v>
      </c>
      <c r="C62" s="255"/>
      <c r="D62" s="255"/>
      <c r="E62" s="255"/>
      <c r="F62" s="255"/>
      <c r="G62" s="235"/>
      <c r="H62" s="255"/>
      <c r="I62" s="256"/>
      <c r="J62" s="215">
        <f t="shared" ref="J62" si="31">J63</f>
        <v>74900</v>
      </c>
      <c r="K62" s="215">
        <f t="shared" ref="K62" si="32">K63</f>
        <v>26716</v>
      </c>
      <c r="L62" s="215">
        <f t="shared" ref="L62" si="33">L63</f>
        <v>48184</v>
      </c>
      <c r="M62" s="215">
        <f t="shared" ref="M62" si="34">M63</f>
        <v>0</v>
      </c>
      <c r="N62" s="215">
        <f t="shared" ref="N62" si="35">N63</f>
        <v>48184</v>
      </c>
      <c r="O62" s="215">
        <f t="shared" ref="O62" si="36">O63</f>
        <v>0</v>
      </c>
      <c r="P62" s="215">
        <f t="shared" ref="P62" si="37">P63</f>
        <v>55511</v>
      </c>
      <c r="Q62" s="215">
        <f t="shared" ref="Q62" si="38">Q63</f>
        <v>7327</v>
      </c>
      <c r="R62" s="215">
        <f t="shared" ref="R62" si="39">R63</f>
        <v>20700</v>
      </c>
      <c r="S62" s="215">
        <f t="shared" ref="S62" si="40">S63</f>
        <v>20700</v>
      </c>
      <c r="T62" s="215">
        <f t="shared" ref="T62" si="41">T63</f>
        <v>0</v>
      </c>
      <c r="U62" s="215">
        <f t="shared" ref="U62:V62" si="42">U63</f>
        <v>0</v>
      </c>
      <c r="V62" s="215">
        <f t="shared" si="42"/>
        <v>61511</v>
      </c>
      <c r="W62" s="215"/>
      <c r="X62" s="215">
        <f>X63</f>
        <v>7327</v>
      </c>
      <c r="Y62" s="215">
        <f t="shared" ref="Y62:AY62" si="43">Y63</f>
        <v>0</v>
      </c>
      <c r="Z62" s="215">
        <f t="shared" si="43"/>
        <v>0</v>
      </c>
      <c r="AA62" s="215">
        <f t="shared" si="43"/>
        <v>6000</v>
      </c>
      <c r="AB62" s="215">
        <f t="shared" si="43"/>
        <v>0</v>
      </c>
      <c r="AC62" s="215">
        <f t="shared" si="43"/>
        <v>0</v>
      </c>
      <c r="AD62" s="215">
        <f t="shared" si="43"/>
        <v>0</v>
      </c>
      <c r="AE62" s="215">
        <f t="shared" si="43"/>
        <v>0</v>
      </c>
      <c r="AF62" s="215">
        <f t="shared" si="43"/>
        <v>0</v>
      </c>
      <c r="AG62" s="215">
        <f t="shared" si="43"/>
        <v>13327</v>
      </c>
      <c r="AH62" s="215">
        <f t="shared" si="43"/>
        <v>7327</v>
      </c>
      <c r="AI62" s="215">
        <f t="shared" si="43"/>
        <v>13373</v>
      </c>
      <c r="AJ62" s="215">
        <f t="shared" si="43"/>
        <v>13373</v>
      </c>
      <c r="AK62" s="215">
        <f t="shared" si="43"/>
        <v>7000</v>
      </c>
      <c r="AL62" s="215">
        <f t="shared" si="43"/>
        <v>7000</v>
      </c>
      <c r="AM62" s="215">
        <f t="shared" si="43"/>
        <v>0</v>
      </c>
      <c r="AN62" s="215">
        <f t="shared" si="43"/>
        <v>0</v>
      </c>
      <c r="AO62" s="215">
        <f t="shared" si="43"/>
        <v>5000</v>
      </c>
      <c r="AP62" s="215">
        <f t="shared" si="43"/>
        <v>5000</v>
      </c>
      <c r="AQ62" s="215">
        <f t="shared" si="43"/>
        <v>0</v>
      </c>
      <c r="AR62" s="215">
        <f t="shared" si="43"/>
        <v>0</v>
      </c>
      <c r="AS62" s="215">
        <f t="shared" si="43"/>
        <v>66511</v>
      </c>
      <c r="AT62" s="215">
        <f t="shared" si="43"/>
        <v>12327</v>
      </c>
      <c r="AU62" s="215">
        <f t="shared" si="43"/>
        <v>12327</v>
      </c>
      <c r="AV62" s="215">
        <f t="shared" si="43"/>
        <v>6072</v>
      </c>
      <c r="AW62" s="215">
        <f t="shared" si="43"/>
        <v>6072</v>
      </c>
      <c r="AX62" s="215">
        <f t="shared" si="43"/>
        <v>0</v>
      </c>
      <c r="AY62" s="215">
        <f t="shared" si="43"/>
        <v>0</v>
      </c>
      <c r="AZ62" s="255"/>
      <c r="BA62" s="533"/>
    </row>
    <row r="63" spans="1:53" s="262" customFormat="1" ht="60" customHeight="1">
      <c r="A63" s="258">
        <v>1</v>
      </c>
      <c r="B63" s="259" t="s">
        <v>331</v>
      </c>
      <c r="C63" s="260" t="s">
        <v>329</v>
      </c>
      <c r="D63" s="260"/>
      <c r="E63" s="303" t="s">
        <v>809</v>
      </c>
      <c r="F63" s="260"/>
      <c r="G63" s="243"/>
      <c r="H63" s="243"/>
      <c r="I63" s="303" t="s">
        <v>662</v>
      </c>
      <c r="J63" s="489">
        <v>74900</v>
      </c>
      <c r="K63" s="489">
        <v>26716</v>
      </c>
      <c r="L63" s="212">
        <v>48184</v>
      </c>
      <c r="M63" s="212">
        <v>0</v>
      </c>
      <c r="N63" s="212">
        <v>48184</v>
      </c>
      <c r="O63" s="212">
        <v>0</v>
      </c>
      <c r="P63" s="212">
        <f>L63+W63</f>
        <v>55511</v>
      </c>
      <c r="Q63" s="212">
        <f>M63+X63</f>
        <v>7327</v>
      </c>
      <c r="R63" s="212">
        <f>S63</f>
        <v>20700</v>
      </c>
      <c r="S63" s="212">
        <v>20700</v>
      </c>
      <c r="T63" s="212"/>
      <c r="U63" s="212"/>
      <c r="V63" s="212">
        <f>48184+7327+6000</f>
        <v>61511</v>
      </c>
      <c r="W63" s="212">
        <v>7327</v>
      </c>
      <c r="X63" s="212">
        <v>7327</v>
      </c>
      <c r="Y63" s="212"/>
      <c r="Z63" s="212"/>
      <c r="AA63" s="212">
        <v>6000</v>
      </c>
      <c r="AB63" s="212"/>
      <c r="AC63" s="212"/>
      <c r="AD63" s="212"/>
      <c r="AE63" s="566">
        <v>0</v>
      </c>
      <c r="AF63" s="566">
        <v>0</v>
      </c>
      <c r="AG63" s="212">
        <f>W63+AA63</f>
        <v>13327</v>
      </c>
      <c r="AH63" s="212">
        <v>7327</v>
      </c>
      <c r="AI63" s="212">
        <f>AJ63</f>
        <v>13373</v>
      </c>
      <c r="AJ63" s="212">
        <f>S63-AH63</f>
        <v>13373</v>
      </c>
      <c r="AK63" s="212">
        <f>AL63</f>
        <v>7000</v>
      </c>
      <c r="AL63" s="212">
        <v>7000</v>
      </c>
      <c r="AM63" s="212">
        <f t="shared" ref="AM63:AM73" si="44">AQ63</f>
        <v>0</v>
      </c>
      <c r="AN63" s="212">
        <f t="shared" ref="AN63:AN73" si="45">AR63</f>
        <v>0</v>
      </c>
      <c r="AO63" s="212">
        <f>AP63</f>
        <v>5000</v>
      </c>
      <c r="AP63" s="212">
        <v>5000</v>
      </c>
      <c r="AQ63" s="212"/>
      <c r="AR63" s="212"/>
      <c r="AS63" s="212">
        <f>V63+AP63</f>
        <v>66511</v>
      </c>
      <c r="AT63" s="212">
        <f>AU63</f>
        <v>12327</v>
      </c>
      <c r="AU63" s="212">
        <f>AH63+AP63</f>
        <v>12327</v>
      </c>
      <c r="AV63" s="212">
        <f>AW63</f>
        <v>6072</v>
      </c>
      <c r="AW63" s="212">
        <v>6072</v>
      </c>
      <c r="AX63" s="212"/>
      <c r="AY63" s="212"/>
      <c r="AZ63" s="261"/>
      <c r="BA63" s="201"/>
    </row>
    <row r="64" spans="1:53" s="251" customFormat="1" ht="33.75" customHeight="1">
      <c r="A64" s="263" t="s">
        <v>42</v>
      </c>
      <c r="B64" s="234" t="s">
        <v>45</v>
      </c>
      <c r="C64" s="264"/>
      <c r="D64" s="264"/>
      <c r="E64" s="264"/>
      <c r="F64" s="264"/>
      <c r="G64" s="229"/>
      <c r="H64" s="229"/>
      <c r="I64" s="231"/>
      <c r="J64" s="215">
        <f t="shared" ref="J64:AY64" si="46">SUM(J65:J70)</f>
        <v>61168.9</v>
      </c>
      <c r="K64" s="215">
        <f t="shared" si="46"/>
        <v>58618.9</v>
      </c>
      <c r="L64" s="215">
        <f t="shared" si="46"/>
        <v>0</v>
      </c>
      <c r="M64" s="215">
        <f t="shared" si="46"/>
        <v>0</v>
      </c>
      <c r="N64" s="215">
        <f t="shared" si="46"/>
        <v>0</v>
      </c>
      <c r="O64" s="215">
        <f t="shared" si="46"/>
        <v>0</v>
      </c>
      <c r="P64" s="215">
        <f t="shared" si="46"/>
        <v>2799</v>
      </c>
      <c r="Q64" s="215">
        <f t="shared" si="46"/>
        <v>2799</v>
      </c>
      <c r="R64" s="215">
        <f t="shared" si="46"/>
        <v>61169</v>
      </c>
      <c r="S64" s="215">
        <f t="shared" si="46"/>
        <v>58619</v>
      </c>
      <c r="T64" s="215">
        <f t="shared" si="46"/>
        <v>0</v>
      </c>
      <c r="U64" s="215">
        <f t="shared" si="46"/>
        <v>0</v>
      </c>
      <c r="V64" s="215">
        <f t="shared" si="46"/>
        <v>19225</v>
      </c>
      <c r="W64" s="215">
        <f t="shared" si="46"/>
        <v>2799</v>
      </c>
      <c r="X64" s="215">
        <f t="shared" si="46"/>
        <v>2799</v>
      </c>
      <c r="Y64" s="215">
        <f t="shared" si="46"/>
        <v>0</v>
      </c>
      <c r="Z64" s="215">
        <f t="shared" si="46"/>
        <v>0</v>
      </c>
      <c r="AA64" s="215">
        <f t="shared" si="46"/>
        <v>19000</v>
      </c>
      <c r="AB64" s="215">
        <f t="shared" si="46"/>
        <v>19000</v>
      </c>
      <c r="AC64" s="215">
        <f t="shared" si="46"/>
        <v>0</v>
      </c>
      <c r="AD64" s="215">
        <f t="shared" si="46"/>
        <v>0</v>
      </c>
      <c r="AE64" s="215">
        <f t="shared" si="46"/>
        <v>3318.98</v>
      </c>
      <c r="AF64" s="215">
        <f t="shared" si="46"/>
        <v>4481.5959999999995</v>
      </c>
      <c r="AG64" s="215">
        <f t="shared" si="46"/>
        <v>21799</v>
      </c>
      <c r="AH64" s="215">
        <f t="shared" si="46"/>
        <v>21799</v>
      </c>
      <c r="AI64" s="215">
        <f t="shared" si="46"/>
        <v>0</v>
      </c>
      <c r="AJ64" s="215">
        <f t="shared" si="46"/>
        <v>0</v>
      </c>
      <c r="AK64" s="215">
        <f t="shared" si="46"/>
        <v>21500</v>
      </c>
      <c r="AL64" s="215">
        <f t="shared" si="46"/>
        <v>21500</v>
      </c>
      <c r="AM64" s="215">
        <f t="shared" si="46"/>
        <v>0</v>
      </c>
      <c r="AN64" s="215">
        <f t="shared" si="46"/>
        <v>0</v>
      </c>
      <c r="AO64" s="215">
        <f t="shared" si="46"/>
        <v>21500</v>
      </c>
      <c r="AP64" s="215">
        <f t="shared" si="46"/>
        <v>21500</v>
      </c>
      <c r="AQ64" s="215">
        <f t="shared" si="46"/>
        <v>0</v>
      </c>
      <c r="AR64" s="215">
        <f t="shared" si="46"/>
        <v>0</v>
      </c>
      <c r="AS64" s="215">
        <f t="shared" si="46"/>
        <v>40725</v>
      </c>
      <c r="AT64" s="215">
        <f t="shared" si="46"/>
        <v>43299</v>
      </c>
      <c r="AU64" s="215">
        <f t="shared" si="46"/>
        <v>43299</v>
      </c>
      <c r="AV64" s="215">
        <f t="shared" si="46"/>
        <v>11730</v>
      </c>
      <c r="AW64" s="215">
        <f t="shared" si="46"/>
        <v>11730</v>
      </c>
      <c r="AX64" s="215">
        <f t="shared" si="46"/>
        <v>0</v>
      </c>
      <c r="AY64" s="215">
        <f t="shared" si="46"/>
        <v>0</v>
      </c>
      <c r="AZ64" s="265"/>
      <c r="BA64" s="232"/>
    </row>
    <row r="65" spans="1:53" s="262" customFormat="1" ht="61.5" customHeight="1">
      <c r="A65" s="268">
        <v>1</v>
      </c>
      <c r="B65" s="269" t="s">
        <v>334</v>
      </c>
      <c r="C65" s="260" t="s">
        <v>329</v>
      </c>
      <c r="D65" s="260"/>
      <c r="E65" s="260"/>
      <c r="F65" s="260"/>
      <c r="G65" s="243"/>
      <c r="H65" s="243"/>
      <c r="I65" s="248" t="s">
        <v>879</v>
      </c>
      <c r="J65" s="212">
        <f>K65</f>
        <v>14990</v>
      </c>
      <c r="K65" s="212">
        <v>14990</v>
      </c>
      <c r="L65" s="212">
        <v>0</v>
      </c>
      <c r="M65" s="212">
        <v>0</v>
      </c>
      <c r="N65" s="212">
        <v>0</v>
      </c>
      <c r="O65" s="212">
        <v>0</v>
      </c>
      <c r="P65" s="212">
        <f t="shared" ref="P65:Q70" si="47">L65+W65</f>
        <v>2500</v>
      </c>
      <c r="Q65" s="212">
        <f t="shared" si="47"/>
        <v>2500</v>
      </c>
      <c r="R65" s="212">
        <f>S65</f>
        <v>14990</v>
      </c>
      <c r="S65" s="212">
        <v>14990</v>
      </c>
      <c r="T65" s="212"/>
      <c r="U65" s="212"/>
      <c r="V65" s="212">
        <v>4000</v>
      </c>
      <c r="W65" s="212">
        <f>X65</f>
        <v>2500</v>
      </c>
      <c r="X65" s="212">
        <v>2500</v>
      </c>
      <c r="Y65" s="212"/>
      <c r="Z65" s="212"/>
      <c r="AA65" s="212">
        <f>AB65</f>
        <v>4000</v>
      </c>
      <c r="AB65" s="212">
        <v>4000</v>
      </c>
      <c r="AC65" s="212"/>
      <c r="AD65" s="212"/>
      <c r="AE65" s="212"/>
      <c r="AF65" s="212"/>
      <c r="AG65" s="212">
        <f t="shared" ref="AG65:AH65" si="48">W65+AA65</f>
        <v>6500</v>
      </c>
      <c r="AH65" s="212">
        <f t="shared" si="48"/>
        <v>6500</v>
      </c>
      <c r="AI65" s="212"/>
      <c r="AJ65" s="212"/>
      <c r="AK65" s="212">
        <f t="shared" ref="AK65:AN65" si="49">AO65</f>
        <v>4000</v>
      </c>
      <c r="AL65" s="212">
        <f t="shared" si="49"/>
        <v>4000</v>
      </c>
      <c r="AM65" s="212">
        <f t="shared" si="49"/>
        <v>0</v>
      </c>
      <c r="AN65" s="212">
        <f t="shared" si="49"/>
        <v>0</v>
      </c>
      <c r="AO65" s="212">
        <f t="shared" ref="AO65:AO68" si="50">AP65</f>
        <v>4000</v>
      </c>
      <c r="AP65" s="212">
        <v>4000</v>
      </c>
      <c r="AQ65" s="212"/>
      <c r="AR65" s="212"/>
      <c r="AS65" s="212">
        <f t="shared" ref="AS65:AS70" si="51">V65+AP65</f>
        <v>8000</v>
      </c>
      <c r="AT65" s="212">
        <f t="shared" ref="AT65:AT70" si="52">AU65</f>
        <v>10500</v>
      </c>
      <c r="AU65" s="212">
        <f t="shared" ref="AU65:AU70" si="53">AH65+AP65</f>
        <v>10500</v>
      </c>
      <c r="AV65" s="212">
        <f t="shared" ref="AV65:AV70" si="54">AW65</f>
        <v>4490</v>
      </c>
      <c r="AW65" s="212">
        <f t="shared" ref="AW65:AW68" si="55">S65-AU65</f>
        <v>4490</v>
      </c>
      <c r="AX65" s="212"/>
      <c r="AY65" s="212"/>
      <c r="AZ65" s="261" t="s">
        <v>783</v>
      </c>
      <c r="BA65" s="201">
        <f>AW65</f>
        <v>4490</v>
      </c>
    </row>
    <row r="66" spans="1:53" s="270" customFormat="1" ht="35.1" customHeight="1">
      <c r="A66" s="258">
        <v>2</v>
      </c>
      <c r="B66" s="267" t="s">
        <v>335</v>
      </c>
      <c r="C66" s="260" t="s">
        <v>329</v>
      </c>
      <c r="D66" s="260"/>
      <c r="E66" s="303" t="s">
        <v>809</v>
      </c>
      <c r="F66" s="260"/>
      <c r="G66" s="272"/>
      <c r="H66" s="490" t="s">
        <v>676</v>
      </c>
      <c r="I66" s="248" t="s">
        <v>336</v>
      </c>
      <c r="J66" s="273">
        <v>14950</v>
      </c>
      <c r="K66" s="273">
        <v>12400</v>
      </c>
      <c r="L66" s="212"/>
      <c r="M66" s="212"/>
      <c r="N66" s="212"/>
      <c r="O66" s="212"/>
      <c r="P66" s="212">
        <f t="shared" si="47"/>
        <v>130</v>
      </c>
      <c r="Q66" s="212">
        <f t="shared" si="47"/>
        <v>130</v>
      </c>
      <c r="R66" s="273">
        <v>14950</v>
      </c>
      <c r="S66" s="273">
        <v>12400</v>
      </c>
      <c r="T66" s="212"/>
      <c r="U66" s="212"/>
      <c r="V66" s="212">
        <v>5130</v>
      </c>
      <c r="W66" s="212">
        <v>130</v>
      </c>
      <c r="X66" s="212">
        <v>130</v>
      </c>
      <c r="Y66" s="212"/>
      <c r="Z66" s="212"/>
      <c r="AA66" s="212">
        <v>5000</v>
      </c>
      <c r="AB66" s="212">
        <v>5000</v>
      </c>
      <c r="AC66" s="212"/>
      <c r="AD66" s="212"/>
      <c r="AE66" s="273">
        <v>3000</v>
      </c>
      <c r="AF66" s="273">
        <v>3000</v>
      </c>
      <c r="AG66" s="212">
        <f t="shared" ref="AG66:AH70" si="56">W66+AA66</f>
        <v>5130</v>
      </c>
      <c r="AH66" s="212">
        <f t="shared" si="56"/>
        <v>5130</v>
      </c>
      <c r="AI66" s="212"/>
      <c r="AJ66" s="212"/>
      <c r="AK66" s="212">
        <f t="shared" ref="AK66:AN68" si="57">AO66</f>
        <v>7000</v>
      </c>
      <c r="AL66" s="212">
        <f t="shared" si="57"/>
        <v>7000</v>
      </c>
      <c r="AM66" s="212">
        <f t="shared" si="57"/>
        <v>0</v>
      </c>
      <c r="AN66" s="212">
        <f t="shared" si="57"/>
        <v>0</v>
      </c>
      <c r="AO66" s="212">
        <f t="shared" si="50"/>
        <v>7000</v>
      </c>
      <c r="AP66" s="212">
        <v>7000</v>
      </c>
      <c r="AQ66" s="212"/>
      <c r="AR66" s="212"/>
      <c r="AS66" s="212">
        <f t="shared" si="51"/>
        <v>12130</v>
      </c>
      <c r="AT66" s="212">
        <f t="shared" si="52"/>
        <v>12130</v>
      </c>
      <c r="AU66" s="212">
        <f t="shared" si="53"/>
        <v>12130</v>
      </c>
      <c r="AV66" s="212">
        <f t="shared" si="54"/>
        <v>270</v>
      </c>
      <c r="AW66" s="212">
        <f t="shared" si="55"/>
        <v>270</v>
      </c>
      <c r="AX66" s="212"/>
      <c r="AY66" s="212"/>
      <c r="AZ66" s="261" t="s">
        <v>977</v>
      </c>
      <c r="BA66" s="279">
        <f>AW66</f>
        <v>270</v>
      </c>
    </row>
    <row r="67" spans="1:53" s="262" customFormat="1" ht="35.1" customHeight="1">
      <c r="A67" s="268">
        <v>3</v>
      </c>
      <c r="B67" s="267" t="s">
        <v>337</v>
      </c>
      <c r="C67" s="260" t="s">
        <v>329</v>
      </c>
      <c r="D67" s="260"/>
      <c r="E67" s="303" t="s">
        <v>809</v>
      </c>
      <c r="F67" s="260"/>
      <c r="G67" s="243"/>
      <c r="H67" s="490" t="s">
        <v>676</v>
      </c>
      <c r="I67" s="248" t="s">
        <v>338</v>
      </c>
      <c r="J67" s="212">
        <v>8400</v>
      </c>
      <c r="K67" s="212">
        <v>8400</v>
      </c>
      <c r="L67" s="212"/>
      <c r="M67" s="212"/>
      <c r="N67" s="212"/>
      <c r="O67" s="212"/>
      <c r="P67" s="212">
        <f t="shared" si="47"/>
        <v>0</v>
      </c>
      <c r="Q67" s="212">
        <f t="shared" si="47"/>
        <v>0</v>
      </c>
      <c r="R67" s="273">
        <v>8400</v>
      </c>
      <c r="S67" s="212">
        <v>8400</v>
      </c>
      <c r="T67" s="212"/>
      <c r="U67" s="212"/>
      <c r="V67" s="212">
        <v>2895</v>
      </c>
      <c r="W67" s="212"/>
      <c r="X67" s="212"/>
      <c r="Y67" s="212"/>
      <c r="Z67" s="212"/>
      <c r="AA67" s="212">
        <v>2800</v>
      </c>
      <c r="AB67" s="212">
        <v>2800</v>
      </c>
      <c r="AC67" s="212"/>
      <c r="AD67" s="212"/>
      <c r="AE67" s="273">
        <v>0</v>
      </c>
      <c r="AF67" s="273">
        <v>1000</v>
      </c>
      <c r="AG67" s="212">
        <f t="shared" si="56"/>
        <v>2800</v>
      </c>
      <c r="AH67" s="212">
        <f t="shared" si="56"/>
        <v>2800</v>
      </c>
      <c r="AI67" s="212"/>
      <c r="AJ67" s="212"/>
      <c r="AK67" s="212">
        <f t="shared" si="57"/>
        <v>5000</v>
      </c>
      <c r="AL67" s="212">
        <f t="shared" si="57"/>
        <v>5000</v>
      </c>
      <c r="AM67" s="212">
        <f t="shared" si="57"/>
        <v>0</v>
      </c>
      <c r="AN67" s="212">
        <f t="shared" si="57"/>
        <v>0</v>
      </c>
      <c r="AO67" s="212">
        <f t="shared" si="50"/>
        <v>5000</v>
      </c>
      <c r="AP67" s="212">
        <v>5000</v>
      </c>
      <c r="AQ67" s="212"/>
      <c r="AR67" s="212"/>
      <c r="AS67" s="212">
        <f t="shared" si="51"/>
        <v>7895</v>
      </c>
      <c r="AT67" s="212">
        <f t="shared" si="52"/>
        <v>7800</v>
      </c>
      <c r="AU67" s="212">
        <f t="shared" si="53"/>
        <v>7800</v>
      </c>
      <c r="AV67" s="212">
        <f t="shared" si="54"/>
        <v>600</v>
      </c>
      <c r="AW67" s="212">
        <f t="shared" si="55"/>
        <v>600</v>
      </c>
      <c r="AX67" s="212"/>
      <c r="AY67" s="212"/>
      <c r="AZ67" s="261" t="s">
        <v>783</v>
      </c>
      <c r="BA67" s="201">
        <f>AW67</f>
        <v>600</v>
      </c>
    </row>
    <row r="68" spans="1:53" s="262" customFormat="1" ht="35.1" customHeight="1">
      <c r="A68" s="258">
        <v>4</v>
      </c>
      <c r="B68" s="267" t="s">
        <v>339</v>
      </c>
      <c r="C68" s="260" t="s">
        <v>329</v>
      </c>
      <c r="D68" s="260"/>
      <c r="E68" s="303" t="s">
        <v>809</v>
      </c>
      <c r="F68" s="260"/>
      <c r="G68" s="243"/>
      <c r="H68" s="490" t="s">
        <v>676</v>
      </c>
      <c r="I68" s="248" t="s">
        <v>340</v>
      </c>
      <c r="J68" s="212">
        <v>10170</v>
      </c>
      <c r="K68" s="212">
        <v>10170</v>
      </c>
      <c r="L68" s="212"/>
      <c r="M68" s="212"/>
      <c r="N68" s="212"/>
      <c r="O68" s="212"/>
      <c r="P68" s="212">
        <f t="shared" si="47"/>
        <v>0</v>
      </c>
      <c r="Q68" s="212">
        <f t="shared" si="47"/>
        <v>0</v>
      </c>
      <c r="R68" s="273">
        <f>S68</f>
        <v>10170</v>
      </c>
      <c r="S68" s="212">
        <v>10170</v>
      </c>
      <c r="T68" s="212"/>
      <c r="U68" s="212"/>
      <c r="V68" s="212">
        <v>3200</v>
      </c>
      <c r="W68" s="212"/>
      <c r="X68" s="212"/>
      <c r="Y68" s="212"/>
      <c r="Z68" s="212"/>
      <c r="AA68" s="212">
        <v>3200</v>
      </c>
      <c r="AB68" s="212">
        <v>3200</v>
      </c>
      <c r="AC68" s="212"/>
      <c r="AD68" s="212"/>
      <c r="AE68" s="273">
        <v>318.98</v>
      </c>
      <c r="AF68" s="273">
        <v>481.596</v>
      </c>
      <c r="AG68" s="212">
        <f t="shared" si="56"/>
        <v>3200</v>
      </c>
      <c r="AH68" s="212">
        <f t="shared" si="56"/>
        <v>3200</v>
      </c>
      <c r="AI68" s="212"/>
      <c r="AJ68" s="212"/>
      <c r="AK68" s="212">
        <f t="shared" si="57"/>
        <v>2500</v>
      </c>
      <c r="AL68" s="212">
        <f t="shared" si="57"/>
        <v>2500</v>
      </c>
      <c r="AM68" s="212">
        <f t="shared" si="57"/>
        <v>0</v>
      </c>
      <c r="AN68" s="212">
        <f t="shared" si="57"/>
        <v>0</v>
      </c>
      <c r="AO68" s="212">
        <f t="shared" si="50"/>
        <v>2500</v>
      </c>
      <c r="AP68" s="212">
        <v>2500</v>
      </c>
      <c r="AQ68" s="212"/>
      <c r="AR68" s="212"/>
      <c r="AS68" s="212">
        <f t="shared" si="51"/>
        <v>5700</v>
      </c>
      <c r="AT68" s="212">
        <f t="shared" si="52"/>
        <v>5700</v>
      </c>
      <c r="AU68" s="212">
        <f t="shared" si="53"/>
        <v>5700</v>
      </c>
      <c r="AV68" s="212">
        <f t="shared" si="54"/>
        <v>4470</v>
      </c>
      <c r="AW68" s="212">
        <f t="shared" si="55"/>
        <v>4470</v>
      </c>
      <c r="AX68" s="212"/>
      <c r="AY68" s="212"/>
      <c r="AZ68" s="261" t="s">
        <v>783</v>
      </c>
      <c r="BA68" s="201"/>
    </row>
    <row r="69" spans="1:53" s="270" customFormat="1" ht="35.1" customHeight="1">
      <c r="A69" s="268">
        <v>5</v>
      </c>
      <c r="B69" s="267" t="s">
        <v>341</v>
      </c>
      <c r="C69" s="260" t="s">
        <v>329</v>
      </c>
      <c r="D69" s="260"/>
      <c r="E69" s="260"/>
      <c r="F69" s="260"/>
      <c r="G69" s="272"/>
      <c r="H69" s="490" t="s">
        <v>781</v>
      </c>
      <c r="I69" s="488" t="s">
        <v>342</v>
      </c>
      <c r="J69" s="273">
        <v>3000</v>
      </c>
      <c r="K69" s="273">
        <v>3000</v>
      </c>
      <c r="L69" s="212"/>
      <c r="M69" s="212"/>
      <c r="N69" s="212"/>
      <c r="O69" s="212"/>
      <c r="P69" s="212">
        <f t="shared" si="47"/>
        <v>43</v>
      </c>
      <c r="Q69" s="212">
        <f t="shared" si="47"/>
        <v>43</v>
      </c>
      <c r="R69" s="273">
        <f>S69</f>
        <v>3000</v>
      </c>
      <c r="S69" s="212">
        <v>3000</v>
      </c>
      <c r="T69" s="212"/>
      <c r="U69" s="212"/>
      <c r="V69" s="212">
        <v>1000</v>
      </c>
      <c r="W69" s="212">
        <v>43</v>
      </c>
      <c r="X69" s="212">
        <v>43</v>
      </c>
      <c r="Y69" s="212"/>
      <c r="Z69" s="212"/>
      <c r="AA69" s="212">
        <v>1000</v>
      </c>
      <c r="AB69" s="212">
        <v>1000</v>
      </c>
      <c r="AC69" s="212"/>
      <c r="AD69" s="212"/>
      <c r="AE69" s="273">
        <v>0</v>
      </c>
      <c r="AF69" s="273">
        <v>0</v>
      </c>
      <c r="AG69" s="212">
        <f t="shared" si="56"/>
        <v>1043</v>
      </c>
      <c r="AH69" s="212">
        <f t="shared" si="56"/>
        <v>1043</v>
      </c>
      <c r="AI69" s="212"/>
      <c r="AJ69" s="212"/>
      <c r="AK69" s="212"/>
      <c r="AL69" s="212"/>
      <c r="AM69" s="212">
        <f t="shared" ref="AM69:AN70" si="58">AQ69</f>
        <v>0</v>
      </c>
      <c r="AN69" s="212">
        <f t="shared" si="58"/>
        <v>0</v>
      </c>
      <c r="AO69" s="212"/>
      <c r="AP69" s="212"/>
      <c r="AQ69" s="212"/>
      <c r="AR69" s="212"/>
      <c r="AS69" s="212">
        <f t="shared" si="51"/>
        <v>1000</v>
      </c>
      <c r="AT69" s="212">
        <f t="shared" si="52"/>
        <v>1043</v>
      </c>
      <c r="AU69" s="212">
        <f t="shared" si="53"/>
        <v>1043</v>
      </c>
      <c r="AV69" s="212">
        <f t="shared" si="54"/>
        <v>1900</v>
      </c>
      <c r="AW69" s="212">
        <v>1900</v>
      </c>
      <c r="AX69" s="212"/>
      <c r="AY69" s="212"/>
      <c r="AZ69" s="261" t="s">
        <v>783</v>
      </c>
      <c r="BA69" s="279">
        <f>AW69</f>
        <v>1900</v>
      </c>
    </row>
    <row r="70" spans="1:53" s="270" customFormat="1" ht="38.450000000000003" customHeight="1">
      <c r="A70" s="258">
        <v>6</v>
      </c>
      <c r="B70" s="271" t="s">
        <v>343</v>
      </c>
      <c r="C70" s="260" t="s">
        <v>329</v>
      </c>
      <c r="D70" s="260"/>
      <c r="E70" s="260"/>
      <c r="F70" s="260"/>
      <c r="G70" s="272"/>
      <c r="H70" s="490" t="s">
        <v>676</v>
      </c>
      <c r="I70" s="310" t="s">
        <v>779</v>
      </c>
      <c r="J70" s="212">
        <v>9658.9</v>
      </c>
      <c r="K70" s="212">
        <v>9658.9</v>
      </c>
      <c r="L70" s="212"/>
      <c r="M70" s="212"/>
      <c r="N70" s="212" t="s">
        <v>311</v>
      </c>
      <c r="O70" s="212"/>
      <c r="P70" s="212">
        <f t="shared" si="47"/>
        <v>126</v>
      </c>
      <c r="Q70" s="212">
        <f t="shared" si="47"/>
        <v>126</v>
      </c>
      <c r="R70" s="273">
        <f>S70</f>
        <v>9659</v>
      </c>
      <c r="S70" s="212">
        <v>9659</v>
      </c>
      <c r="T70" s="212"/>
      <c r="U70" s="212"/>
      <c r="V70" s="212">
        <v>3000</v>
      </c>
      <c r="W70" s="212">
        <v>126</v>
      </c>
      <c r="X70" s="212">
        <v>126</v>
      </c>
      <c r="Y70" s="212"/>
      <c r="Z70" s="212"/>
      <c r="AA70" s="212">
        <v>3000</v>
      </c>
      <c r="AB70" s="212">
        <v>3000</v>
      </c>
      <c r="AC70" s="212"/>
      <c r="AD70" s="212"/>
      <c r="AE70" s="212"/>
      <c r="AF70" s="212"/>
      <c r="AG70" s="212">
        <f t="shared" si="56"/>
        <v>3126</v>
      </c>
      <c r="AH70" s="212">
        <f t="shared" si="56"/>
        <v>3126</v>
      </c>
      <c r="AI70" s="212"/>
      <c r="AJ70" s="212"/>
      <c r="AK70" s="212">
        <f>AO70</f>
        <v>3000</v>
      </c>
      <c r="AL70" s="212">
        <f>AP70</f>
        <v>3000</v>
      </c>
      <c r="AM70" s="212">
        <f t="shared" si="58"/>
        <v>0</v>
      </c>
      <c r="AN70" s="212">
        <f t="shared" si="58"/>
        <v>0</v>
      </c>
      <c r="AO70" s="212">
        <f>AP70</f>
        <v>3000</v>
      </c>
      <c r="AP70" s="212">
        <v>3000</v>
      </c>
      <c r="AQ70" s="212"/>
      <c r="AR70" s="212"/>
      <c r="AS70" s="212">
        <f t="shared" si="51"/>
        <v>6000</v>
      </c>
      <c r="AT70" s="212">
        <f t="shared" si="52"/>
        <v>6126</v>
      </c>
      <c r="AU70" s="212">
        <f t="shared" si="53"/>
        <v>6126</v>
      </c>
      <c r="AV70" s="212">
        <f t="shared" si="54"/>
        <v>0</v>
      </c>
      <c r="AW70" s="212"/>
      <c r="AX70" s="212"/>
      <c r="AY70" s="212"/>
      <c r="AZ70" s="261" t="s">
        <v>1026</v>
      </c>
      <c r="BA70" s="279">
        <f>AW70</f>
        <v>0</v>
      </c>
    </row>
    <row r="71" spans="1:53" s="251" customFormat="1" ht="32.450000000000003" customHeight="1">
      <c r="A71" s="263" t="s">
        <v>278</v>
      </c>
      <c r="B71" s="280" t="s">
        <v>895</v>
      </c>
      <c r="C71" s="264"/>
      <c r="D71" s="264"/>
      <c r="E71" s="264"/>
      <c r="F71" s="264"/>
      <c r="G71" s="229"/>
      <c r="H71" s="229"/>
      <c r="I71" s="231"/>
      <c r="J71" s="215">
        <f>J72</f>
        <v>329697.8</v>
      </c>
      <c r="K71" s="215">
        <f t="shared" ref="K71:AY71" si="59">K72</f>
        <v>151738</v>
      </c>
      <c r="L71" s="215">
        <f t="shared" si="59"/>
        <v>18222</v>
      </c>
      <c r="M71" s="215">
        <f t="shared" si="59"/>
        <v>0</v>
      </c>
      <c r="N71" s="215">
        <f t="shared" si="59"/>
        <v>0</v>
      </c>
      <c r="O71" s="215">
        <f t="shared" si="59"/>
        <v>0</v>
      </c>
      <c r="P71" s="215">
        <f t="shared" si="59"/>
        <v>18307</v>
      </c>
      <c r="Q71" s="215">
        <f t="shared" si="59"/>
        <v>85</v>
      </c>
      <c r="R71" s="215">
        <f t="shared" si="59"/>
        <v>96344</v>
      </c>
      <c r="S71" s="215">
        <f t="shared" si="59"/>
        <v>78122</v>
      </c>
      <c r="T71" s="215">
        <f t="shared" si="59"/>
        <v>0</v>
      </c>
      <c r="U71" s="215">
        <f t="shared" si="59"/>
        <v>0</v>
      </c>
      <c r="V71" s="215">
        <f t="shared" si="59"/>
        <v>0</v>
      </c>
      <c r="W71" s="215">
        <f t="shared" si="59"/>
        <v>85</v>
      </c>
      <c r="X71" s="215">
        <f t="shared" si="59"/>
        <v>85</v>
      </c>
      <c r="Y71" s="215">
        <f t="shared" si="59"/>
        <v>0</v>
      </c>
      <c r="Z71" s="215">
        <f t="shared" si="59"/>
        <v>0</v>
      </c>
      <c r="AA71" s="215">
        <f t="shared" si="59"/>
        <v>0</v>
      </c>
      <c r="AB71" s="215">
        <f t="shared" si="59"/>
        <v>0</v>
      </c>
      <c r="AC71" s="215">
        <f t="shared" si="59"/>
        <v>0</v>
      </c>
      <c r="AD71" s="215">
        <f t="shared" si="59"/>
        <v>0</v>
      </c>
      <c r="AE71" s="215">
        <f t="shared" si="59"/>
        <v>0</v>
      </c>
      <c r="AF71" s="215">
        <f t="shared" si="59"/>
        <v>0</v>
      </c>
      <c r="AG71" s="215">
        <f t="shared" si="59"/>
        <v>1103</v>
      </c>
      <c r="AH71" s="215">
        <f t="shared" si="59"/>
        <v>1103</v>
      </c>
      <c r="AI71" s="215">
        <f t="shared" si="59"/>
        <v>0</v>
      </c>
      <c r="AJ71" s="215">
        <f t="shared" si="59"/>
        <v>0</v>
      </c>
      <c r="AK71" s="215">
        <f t="shared" si="59"/>
        <v>11500</v>
      </c>
      <c r="AL71" s="215">
        <f t="shared" si="59"/>
        <v>11500</v>
      </c>
      <c r="AM71" s="215">
        <f t="shared" si="59"/>
        <v>0</v>
      </c>
      <c r="AN71" s="215">
        <f t="shared" si="59"/>
        <v>0</v>
      </c>
      <c r="AO71" s="215">
        <f t="shared" si="59"/>
        <v>15387</v>
      </c>
      <c r="AP71" s="215">
        <f>AP72</f>
        <v>15387</v>
      </c>
      <c r="AQ71" s="215">
        <f t="shared" si="59"/>
        <v>0</v>
      </c>
      <c r="AR71" s="215">
        <f t="shared" si="59"/>
        <v>0</v>
      </c>
      <c r="AS71" s="215">
        <f t="shared" si="59"/>
        <v>15387</v>
      </c>
      <c r="AT71" s="215">
        <f t="shared" si="59"/>
        <v>16490</v>
      </c>
      <c r="AU71" s="215">
        <f t="shared" si="59"/>
        <v>16490</v>
      </c>
      <c r="AV71" s="215">
        <f t="shared" si="59"/>
        <v>21400</v>
      </c>
      <c r="AW71" s="215">
        <f t="shared" si="59"/>
        <v>21400</v>
      </c>
      <c r="AX71" s="215">
        <f t="shared" si="59"/>
        <v>10000</v>
      </c>
      <c r="AY71" s="215">
        <f t="shared" si="59"/>
        <v>0</v>
      </c>
      <c r="AZ71" s="265"/>
      <c r="BA71" s="232"/>
    </row>
    <row r="72" spans="1:53" s="251" customFormat="1" ht="33.75" customHeight="1">
      <c r="A72" s="275" t="s">
        <v>42</v>
      </c>
      <c r="B72" s="236" t="s">
        <v>45</v>
      </c>
      <c r="C72" s="264"/>
      <c r="D72" s="264"/>
      <c r="E72" s="264"/>
      <c r="F72" s="264"/>
      <c r="G72" s="229"/>
      <c r="H72" s="229"/>
      <c r="I72" s="217"/>
      <c r="J72" s="215">
        <f>SUM(J73:J75)</f>
        <v>329697.8</v>
      </c>
      <c r="K72" s="215">
        <f t="shared" ref="K72:AY72" si="60">SUM(K73:K75)</f>
        <v>151738</v>
      </c>
      <c r="L72" s="215">
        <f t="shared" si="60"/>
        <v>18222</v>
      </c>
      <c r="M72" s="215">
        <f t="shared" si="60"/>
        <v>0</v>
      </c>
      <c r="N72" s="215">
        <f t="shared" si="60"/>
        <v>0</v>
      </c>
      <c r="O72" s="215">
        <f t="shared" si="60"/>
        <v>0</v>
      </c>
      <c r="P72" s="215">
        <f t="shared" si="60"/>
        <v>18307</v>
      </c>
      <c r="Q72" s="215">
        <f t="shared" si="60"/>
        <v>85</v>
      </c>
      <c r="R72" s="215">
        <f t="shared" si="60"/>
        <v>96344</v>
      </c>
      <c r="S72" s="215">
        <f t="shared" si="60"/>
        <v>78122</v>
      </c>
      <c r="T72" s="215">
        <f t="shared" si="60"/>
        <v>0</v>
      </c>
      <c r="U72" s="215">
        <f t="shared" si="60"/>
        <v>0</v>
      </c>
      <c r="V72" s="215">
        <f t="shared" si="60"/>
        <v>0</v>
      </c>
      <c r="W72" s="215">
        <f t="shared" si="60"/>
        <v>85</v>
      </c>
      <c r="X72" s="215">
        <f t="shared" si="60"/>
        <v>85</v>
      </c>
      <c r="Y72" s="215">
        <f t="shared" si="60"/>
        <v>0</v>
      </c>
      <c r="Z72" s="215">
        <f t="shared" si="60"/>
        <v>0</v>
      </c>
      <c r="AA72" s="215">
        <f t="shared" si="60"/>
        <v>0</v>
      </c>
      <c r="AB72" s="215">
        <f t="shared" si="60"/>
        <v>0</v>
      </c>
      <c r="AC72" s="215">
        <f t="shared" si="60"/>
        <v>0</v>
      </c>
      <c r="AD72" s="215">
        <f t="shared" si="60"/>
        <v>0</v>
      </c>
      <c r="AE72" s="215">
        <f t="shared" si="60"/>
        <v>0</v>
      </c>
      <c r="AF72" s="215">
        <f t="shared" si="60"/>
        <v>0</v>
      </c>
      <c r="AG72" s="215">
        <f t="shared" si="60"/>
        <v>1103</v>
      </c>
      <c r="AH72" s="215">
        <f t="shared" si="60"/>
        <v>1103</v>
      </c>
      <c r="AI72" s="215">
        <f t="shared" si="60"/>
        <v>0</v>
      </c>
      <c r="AJ72" s="215">
        <f t="shared" si="60"/>
        <v>0</v>
      </c>
      <c r="AK72" s="215">
        <f t="shared" si="60"/>
        <v>11500</v>
      </c>
      <c r="AL72" s="215">
        <f t="shared" si="60"/>
        <v>11500</v>
      </c>
      <c r="AM72" s="215">
        <f t="shared" si="60"/>
        <v>0</v>
      </c>
      <c r="AN72" s="215">
        <f t="shared" si="60"/>
        <v>0</v>
      </c>
      <c r="AO72" s="215">
        <f t="shared" si="60"/>
        <v>15387</v>
      </c>
      <c r="AP72" s="215">
        <f t="shared" si="60"/>
        <v>15387</v>
      </c>
      <c r="AQ72" s="215">
        <f t="shared" si="60"/>
        <v>0</v>
      </c>
      <c r="AR72" s="215">
        <f t="shared" si="60"/>
        <v>0</v>
      </c>
      <c r="AS72" s="215">
        <f t="shared" si="60"/>
        <v>15387</v>
      </c>
      <c r="AT72" s="215">
        <f t="shared" si="60"/>
        <v>16490</v>
      </c>
      <c r="AU72" s="215">
        <f t="shared" si="60"/>
        <v>16490</v>
      </c>
      <c r="AV72" s="215">
        <f t="shared" si="60"/>
        <v>21400</v>
      </c>
      <c r="AW72" s="215">
        <f>SUM(AW73:AW75)</f>
        <v>21400</v>
      </c>
      <c r="AX72" s="215">
        <f t="shared" si="60"/>
        <v>10000</v>
      </c>
      <c r="AY72" s="215">
        <f t="shared" si="60"/>
        <v>0</v>
      </c>
      <c r="AZ72" s="265"/>
      <c r="BA72" s="232"/>
    </row>
    <row r="73" spans="1:53" s="262" customFormat="1" ht="46.5" customHeight="1">
      <c r="A73" s="282" t="s">
        <v>37</v>
      </c>
      <c r="B73" s="274" t="s">
        <v>332</v>
      </c>
      <c r="C73" s="260" t="s">
        <v>329</v>
      </c>
      <c r="D73" s="260"/>
      <c r="E73" s="260" t="s">
        <v>810</v>
      </c>
      <c r="F73" s="260"/>
      <c r="G73" s="243"/>
      <c r="H73" s="243" t="s">
        <v>414</v>
      </c>
      <c r="I73" s="248" t="s">
        <v>333</v>
      </c>
      <c r="J73" s="212">
        <v>40000</v>
      </c>
      <c r="K73" s="212">
        <v>20000</v>
      </c>
      <c r="L73" s="212">
        <v>18222</v>
      </c>
      <c r="M73" s="212"/>
      <c r="N73" s="212"/>
      <c r="O73" s="212"/>
      <c r="P73" s="212">
        <f t="shared" ref="P73:Q73" si="61">L73+W73</f>
        <v>18222</v>
      </c>
      <c r="Q73" s="212">
        <f t="shared" si="61"/>
        <v>0</v>
      </c>
      <c r="R73" s="212">
        <v>36444</v>
      </c>
      <c r="S73" s="212">
        <v>18222</v>
      </c>
      <c r="T73" s="212"/>
      <c r="U73" s="212"/>
      <c r="V73" s="212"/>
      <c r="W73" s="212"/>
      <c r="X73" s="212"/>
      <c r="Y73" s="212"/>
      <c r="Z73" s="212"/>
      <c r="AA73" s="212"/>
      <c r="AB73" s="212"/>
      <c r="AC73" s="212"/>
      <c r="AD73" s="212"/>
      <c r="AE73" s="212"/>
      <c r="AF73" s="212"/>
      <c r="AG73" s="212">
        <f t="shared" si="0"/>
        <v>0</v>
      </c>
      <c r="AH73" s="212">
        <f t="shared" si="1"/>
        <v>0</v>
      </c>
      <c r="AI73" s="212"/>
      <c r="AJ73" s="212"/>
      <c r="AK73" s="212">
        <f>AL73</f>
        <v>6500</v>
      </c>
      <c r="AL73" s="212">
        <v>6500</v>
      </c>
      <c r="AM73" s="212">
        <f t="shared" si="44"/>
        <v>0</v>
      </c>
      <c r="AN73" s="212">
        <f t="shared" si="45"/>
        <v>0</v>
      </c>
      <c r="AO73" s="212">
        <f>AP73</f>
        <v>5500</v>
      </c>
      <c r="AP73" s="212">
        <v>5500</v>
      </c>
      <c r="AQ73" s="212"/>
      <c r="AR73" s="212"/>
      <c r="AS73" s="212">
        <f>V73+AP73</f>
        <v>5500</v>
      </c>
      <c r="AT73" s="212">
        <f>AU73</f>
        <v>5500</v>
      </c>
      <c r="AU73" s="212">
        <f>AH73+AP73</f>
        <v>5500</v>
      </c>
      <c r="AV73" s="212">
        <f>AW73</f>
        <v>5500</v>
      </c>
      <c r="AW73" s="212">
        <v>5500</v>
      </c>
      <c r="AX73" s="212"/>
      <c r="AY73" s="212"/>
      <c r="AZ73" s="261"/>
      <c r="BA73" s="201"/>
    </row>
    <row r="74" spans="1:53" s="270" customFormat="1" ht="51" customHeight="1">
      <c r="A74" s="268">
        <v>2</v>
      </c>
      <c r="B74" s="510" t="s">
        <v>345</v>
      </c>
      <c r="C74" s="260" t="s">
        <v>329</v>
      </c>
      <c r="D74" s="260"/>
      <c r="E74" s="260" t="s">
        <v>835</v>
      </c>
      <c r="F74" s="260"/>
      <c r="G74" s="272"/>
      <c r="H74" s="303" t="s">
        <v>346</v>
      </c>
      <c r="I74" s="254" t="s">
        <v>798</v>
      </c>
      <c r="J74" s="489">
        <v>279797.8</v>
      </c>
      <c r="K74" s="489">
        <v>121838</v>
      </c>
      <c r="L74" s="212"/>
      <c r="M74" s="212"/>
      <c r="N74" s="212"/>
      <c r="O74" s="212"/>
      <c r="P74" s="212"/>
      <c r="Q74" s="212"/>
      <c r="R74" s="273">
        <f>S74</f>
        <v>50000</v>
      </c>
      <c r="S74" s="212">
        <v>50000</v>
      </c>
      <c r="T74" s="212"/>
      <c r="U74" s="212"/>
      <c r="V74" s="212"/>
      <c r="W74" s="212"/>
      <c r="X74" s="212"/>
      <c r="Y74" s="212"/>
      <c r="Z74" s="212"/>
      <c r="AA74" s="212"/>
      <c r="AB74" s="212"/>
      <c r="AC74" s="212"/>
      <c r="AD74" s="212"/>
      <c r="AE74" s="212"/>
      <c r="AF74" s="212"/>
      <c r="AG74" s="212">
        <f>AH74</f>
        <v>1018</v>
      </c>
      <c r="AH74" s="212">
        <v>1018</v>
      </c>
      <c r="AI74" s="212"/>
      <c r="AJ74" s="212"/>
      <c r="AK74" s="212"/>
      <c r="AL74" s="212"/>
      <c r="AM74" s="212"/>
      <c r="AN74" s="212"/>
      <c r="AO74" s="212">
        <f t="shared" ref="AO74" si="62">AP74</f>
        <v>6387</v>
      </c>
      <c r="AP74" s="212">
        <f>5787+600</f>
        <v>6387</v>
      </c>
      <c r="AQ74" s="212"/>
      <c r="AR74" s="212"/>
      <c r="AS74" s="212">
        <f t="shared" ref="AS74" si="63">V74+AP74</f>
        <v>6387</v>
      </c>
      <c r="AT74" s="212">
        <f t="shared" ref="AT74" si="64">AU74</f>
        <v>7405</v>
      </c>
      <c r="AU74" s="212">
        <f t="shared" ref="AU74" si="65">AH74+AP74</f>
        <v>7405</v>
      </c>
      <c r="AV74" s="212">
        <f t="shared" ref="AV74" si="66">AW74</f>
        <v>13400</v>
      </c>
      <c r="AW74" s="212">
        <v>13400</v>
      </c>
      <c r="AX74" s="212">
        <v>10000</v>
      </c>
      <c r="AY74" s="212"/>
      <c r="AZ74" s="243" t="s">
        <v>973</v>
      </c>
      <c r="BA74" s="279"/>
    </row>
    <row r="75" spans="1:53" s="270" customFormat="1" ht="44.1" customHeight="1">
      <c r="A75" s="268">
        <v>3</v>
      </c>
      <c r="B75" s="269" t="s">
        <v>344</v>
      </c>
      <c r="C75" s="260" t="s">
        <v>329</v>
      </c>
      <c r="D75" s="260"/>
      <c r="E75" s="303" t="s">
        <v>809</v>
      </c>
      <c r="F75" s="260"/>
      <c r="G75" s="272"/>
      <c r="H75" s="243" t="s">
        <v>684</v>
      </c>
      <c r="I75" s="248" t="s">
        <v>808</v>
      </c>
      <c r="J75" s="212">
        <f>K75</f>
        <v>9900</v>
      </c>
      <c r="K75" s="212">
        <v>9900</v>
      </c>
      <c r="L75" s="526"/>
      <c r="M75" s="526"/>
      <c r="N75" s="526"/>
      <c r="O75" s="526"/>
      <c r="P75" s="212">
        <f>L75+W75</f>
        <v>85</v>
      </c>
      <c r="Q75" s="212">
        <f>M75+X75</f>
        <v>85</v>
      </c>
      <c r="R75" s="273">
        <v>9900</v>
      </c>
      <c r="S75" s="273">
        <v>9900</v>
      </c>
      <c r="T75" s="526"/>
      <c r="U75" s="526"/>
      <c r="V75" s="526"/>
      <c r="W75" s="273">
        <v>85</v>
      </c>
      <c r="X75" s="273">
        <v>85</v>
      </c>
      <c r="Y75" s="526"/>
      <c r="Z75" s="526"/>
      <c r="AA75" s="526"/>
      <c r="AB75" s="526"/>
      <c r="AC75" s="526"/>
      <c r="AD75" s="526"/>
      <c r="AE75" s="526"/>
      <c r="AF75" s="526"/>
      <c r="AG75" s="212">
        <f>W75+AA75</f>
        <v>85</v>
      </c>
      <c r="AH75" s="212">
        <f>X75+AB75</f>
        <v>85</v>
      </c>
      <c r="AI75" s="212"/>
      <c r="AJ75" s="212"/>
      <c r="AK75" s="212">
        <f>AL75</f>
        <v>5000</v>
      </c>
      <c r="AL75" s="212">
        <v>5000</v>
      </c>
      <c r="AM75" s="212">
        <f>AQ75</f>
        <v>0</v>
      </c>
      <c r="AN75" s="212">
        <f>AR75</f>
        <v>0</v>
      </c>
      <c r="AO75" s="273">
        <f>AP75</f>
        <v>3500</v>
      </c>
      <c r="AP75" s="273">
        <v>3500</v>
      </c>
      <c r="AQ75" s="526"/>
      <c r="AR75" s="526"/>
      <c r="AS75" s="212">
        <f>V75+AP75</f>
        <v>3500</v>
      </c>
      <c r="AT75" s="212">
        <f>AU75</f>
        <v>3585</v>
      </c>
      <c r="AU75" s="212">
        <f>AH75+AP75</f>
        <v>3585</v>
      </c>
      <c r="AV75" s="212">
        <f>AW75</f>
        <v>2500</v>
      </c>
      <c r="AW75" s="212">
        <v>2500</v>
      </c>
      <c r="AX75" s="526"/>
      <c r="AY75" s="526"/>
      <c r="AZ75" s="303"/>
      <c r="BA75" s="279"/>
    </row>
    <row r="76" spans="1:53" s="251" customFormat="1" ht="38.450000000000003" customHeight="1">
      <c r="A76" s="213" t="s">
        <v>279</v>
      </c>
      <c r="B76" s="635" t="s">
        <v>896</v>
      </c>
      <c r="C76" s="264"/>
      <c r="D76" s="264"/>
      <c r="E76" s="264"/>
      <c r="F76" s="264"/>
      <c r="G76" s="229"/>
      <c r="H76" s="229"/>
      <c r="I76" s="217"/>
      <c r="J76" s="215">
        <f>J77</f>
        <v>57890</v>
      </c>
      <c r="K76" s="215">
        <f t="shared" ref="K76:AY76" si="67">K77</f>
        <v>48560</v>
      </c>
      <c r="L76" s="215">
        <f t="shared" si="67"/>
        <v>0</v>
      </c>
      <c r="M76" s="215">
        <f t="shared" si="67"/>
        <v>0</v>
      </c>
      <c r="N76" s="215">
        <f t="shared" si="67"/>
        <v>0</v>
      </c>
      <c r="O76" s="215">
        <f t="shared" si="67"/>
        <v>0</v>
      </c>
      <c r="P76" s="215">
        <f t="shared" si="67"/>
        <v>0</v>
      </c>
      <c r="Q76" s="215">
        <f t="shared" si="67"/>
        <v>0</v>
      </c>
      <c r="R76" s="215">
        <f t="shared" si="67"/>
        <v>38117</v>
      </c>
      <c r="S76" s="215">
        <f t="shared" si="67"/>
        <v>38117</v>
      </c>
      <c r="T76" s="215">
        <f t="shared" si="67"/>
        <v>0</v>
      </c>
      <c r="U76" s="215">
        <f t="shared" si="67"/>
        <v>0</v>
      </c>
      <c r="V76" s="215">
        <f t="shared" si="67"/>
        <v>0</v>
      </c>
      <c r="W76" s="215">
        <f t="shared" si="67"/>
        <v>34</v>
      </c>
      <c r="X76" s="215">
        <f t="shared" si="67"/>
        <v>34</v>
      </c>
      <c r="Y76" s="215">
        <f t="shared" si="67"/>
        <v>0</v>
      </c>
      <c r="Z76" s="215">
        <f t="shared" si="67"/>
        <v>0</v>
      </c>
      <c r="AA76" s="215">
        <f t="shared" si="67"/>
        <v>0</v>
      </c>
      <c r="AB76" s="215">
        <f t="shared" si="67"/>
        <v>0</v>
      </c>
      <c r="AC76" s="215">
        <f t="shared" si="67"/>
        <v>0</v>
      </c>
      <c r="AD76" s="215">
        <f t="shared" si="67"/>
        <v>0</v>
      </c>
      <c r="AE76" s="215">
        <f t="shared" si="67"/>
        <v>0</v>
      </c>
      <c r="AF76" s="215">
        <f t="shared" si="67"/>
        <v>0</v>
      </c>
      <c r="AG76" s="215">
        <f t="shared" si="67"/>
        <v>34</v>
      </c>
      <c r="AH76" s="215">
        <f t="shared" si="67"/>
        <v>34</v>
      </c>
      <c r="AI76" s="215">
        <f t="shared" si="67"/>
        <v>0</v>
      </c>
      <c r="AJ76" s="215">
        <f t="shared" si="67"/>
        <v>0</v>
      </c>
      <c r="AK76" s="215">
        <f t="shared" si="67"/>
        <v>100</v>
      </c>
      <c r="AL76" s="215">
        <f t="shared" si="67"/>
        <v>100</v>
      </c>
      <c r="AM76" s="215">
        <f t="shared" si="67"/>
        <v>0</v>
      </c>
      <c r="AN76" s="215">
        <f t="shared" si="67"/>
        <v>0</v>
      </c>
      <c r="AO76" s="215">
        <f t="shared" si="67"/>
        <v>100</v>
      </c>
      <c r="AP76" s="215">
        <f t="shared" si="67"/>
        <v>100</v>
      </c>
      <c r="AQ76" s="215">
        <f t="shared" si="67"/>
        <v>0</v>
      </c>
      <c r="AR76" s="215">
        <f t="shared" si="67"/>
        <v>0</v>
      </c>
      <c r="AS76" s="215">
        <f t="shared" si="67"/>
        <v>100</v>
      </c>
      <c r="AT76" s="215">
        <f t="shared" si="67"/>
        <v>100</v>
      </c>
      <c r="AU76" s="215">
        <f t="shared" si="67"/>
        <v>100</v>
      </c>
      <c r="AV76" s="215">
        <f t="shared" si="67"/>
        <v>13800</v>
      </c>
      <c r="AW76" s="215">
        <f t="shared" si="67"/>
        <v>13800</v>
      </c>
      <c r="AX76" s="215">
        <f t="shared" si="67"/>
        <v>0</v>
      </c>
      <c r="AY76" s="215">
        <f t="shared" si="67"/>
        <v>0</v>
      </c>
      <c r="AZ76" s="229"/>
      <c r="BA76" s="232"/>
    </row>
    <row r="77" spans="1:53" s="251" customFormat="1" ht="28.5" customHeight="1">
      <c r="A77" s="213"/>
      <c r="B77" s="236" t="s">
        <v>45</v>
      </c>
      <c r="C77" s="264"/>
      <c r="D77" s="264"/>
      <c r="E77" s="264"/>
      <c r="F77" s="264"/>
      <c r="G77" s="285"/>
      <c r="H77" s="229"/>
      <c r="I77" s="231"/>
      <c r="J77" s="242">
        <f>SUM(J78:J81)</f>
        <v>57890</v>
      </c>
      <c r="K77" s="242">
        <f t="shared" ref="K77:AY77" si="68">SUM(K78:K81)</f>
        <v>48560</v>
      </c>
      <c r="L77" s="242">
        <f t="shared" si="68"/>
        <v>0</v>
      </c>
      <c r="M77" s="242">
        <f t="shared" si="68"/>
        <v>0</v>
      </c>
      <c r="N77" s="242">
        <f t="shared" si="68"/>
        <v>0</v>
      </c>
      <c r="O77" s="242">
        <f t="shared" si="68"/>
        <v>0</v>
      </c>
      <c r="P77" s="242">
        <f t="shared" si="68"/>
        <v>0</v>
      </c>
      <c r="Q77" s="242">
        <f t="shared" si="68"/>
        <v>0</v>
      </c>
      <c r="R77" s="242">
        <f t="shared" si="68"/>
        <v>38117</v>
      </c>
      <c r="S77" s="242">
        <f t="shared" si="68"/>
        <v>38117</v>
      </c>
      <c r="T77" s="242">
        <f t="shared" si="68"/>
        <v>0</v>
      </c>
      <c r="U77" s="242">
        <f t="shared" si="68"/>
        <v>0</v>
      </c>
      <c r="V77" s="242">
        <f t="shared" si="68"/>
        <v>0</v>
      </c>
      <c r="W77" s="242">
        <f t="shared" si="68"/>
        <v>34</v>
      </c>
      <c r="X77" s="242">
        <f t="shared" si="68"/>
        <v>34</v>
      </c>
      <c r="Y77" s="242">
        <f t="shared" si="68"/>
        <v>0</v>
      </c>
      <c r="Z77" s="242">
        <f t="shared" si="68"/>
        <v>0</v>
      </c>
      <c r="AA77" s="242">
        <f t="shared" si="68"/>
        <v>0</v>
      </c>
      <c r="AB77" s="242">
        <f t="shared" si="68"/>
        <v>0</v>
      </c>
      <c r="AC77" s="242">
        <f t="shared" si="68"/>
        <v>0</v>
      </c>
      <c r="AD77" s="242">
        <f t="shared" si="68"/>
        <v>0</v>
      </c>
      <c r="AE77" s="242">
        <f t="shared" si="68"/>
        <v>0</v>
      </c>
      <c r="AF77" s="242">
        <f t="shared" si="68"/>
        <v>0</v>
      </c>
      <c r="AG77" s="242">
        <f t="shared" si="68"/>
        <v>34</v>
      </c>
      <c r="AH77" s="242">
        <f t="shared" si="68"/>
        <v>34</v>
      </c>
      <c r="AI77" s="242">
        <f t="shared" si="68"/>
        <v>0</v>
      </c>
      <c r="AJ77" s="242">
        <f t="shared" si="68"/>
        <v>0</v>
      </c>
      <c r="AK77" s="242">
        <f t="shared" si="68"/>
        <v>100</v>
      </c>
      <c r="AL77" s="242">
        <f t="shared" si="68"/>
        <v>100</v>
      </c>
      <c r="AM77" s="242">
        <f t="shared" si="68"/>
        <v>0</v>
      </c>
      <c r="AN77" s="242">
        <f t="shared" si="68"/>
        <v>0</v>
      </c>
      <c r="AO77" s="242">
        <f t="shared" si="68"/>
        <v>100</v>
      </c>
      <c r="AP77" s="242">
        <f t="shared" si="68"/>
        <v>100</v>
      </c>
      <c r="AQ77" s="242">
        <f t="shared" si="68"/>
        <v>0</v>
      </c>
      <c r="AR77" s="242">
        <f t="shared" si="68"/>
        <v>0</v>
      </c>
      <c r="AS77" s="242">
        <f t="shared" si="68"/>
        <v>100</v>
      </c>
      <c r="AT77" s="242">
        <f t="shared" si="68"/>
        <v>100</v>
      </c>
      <c r="AU77" s="242">
        <f t="shared" si="68"/>
        <v>100</v>
      </c>
      <c r="AV77" s="242">
        <f t="shared" si="68"/>
        <v>13800</v>
      </c>
      <c r="AW77" s="242">
        <f>SUM(AW78:AW81)</f>
        <v>13800</v>
      </c>
      <c r="AX77" s="242">
        <f t="shared" si="68"/>
        <v>0</v>
      </c>
      <c r="AY77" s="242">
        <f t="shared" si="68"/>
        <v>0</v>
      </c>
      <c r="AZ77" s="231"/>
      <c r="BA77" s="232"/>
    </row>
    <row r="78" spans="1:53" s="262" customFormat="1" ht="34.5" customHeight="1">
      <c r="A78" s="268">
        <v>1</v>
      </c>
      <c r="B78" s="267" t="s">
        <v>347</v>
      </c>
      <c r="C78" s="260" t="s">
        <v>329</v>
      </c>
      <c r="D78" s="260"/>
      <c r="E78" s="303" t="s">
        <v>809</v>
      </c>
      <c r="F78" s="260"/>
      <c r="G78" s="243" t="s">
        <v>939</v>
      </c>
      <c r="H78" s="243" t="s">
        <v>936</v>
      </c>
      <c r="I78" s="248" t="s">
        <v>938</v>
      </c>
      <c r="J78" s="212">
        <v>14900</v>
      </c>
      <c r="K78" s="212">
        <v>5570</v>
      </c>
      <c r="L78" s="212"/>
      <c r="M78" s="212"/>
      <c r="N78" s="212"/>
      <c r="O78" s="212"/>
      <c r="P78" s="212">
        <f>L78+W78</f>
        <v>0</v>
      </c>
      <c r="Q78" s="212">
        <f>M78+X78</f>
        <v>0</v>
      </c>
      <c r="R78" s="212">
        <f>+S78</f>
        <v>5571</v>
      </c>
      <c r="S78" s="212">
        <v>5571</v>
      </c>
      <c r="T78" s="212"/>
      <c r="U78" s="212"/>
      <c r="V78" s="212"/>
      <c r="W78" s="212"/>
      <c r="X78" s="212"/>
      <c r="Y78" s="212"/>
      <c r="Z78" s="212"/>
      <c r="AA78" s="212"/>
      <c r="AB78" s="212"/>
      <c r="AC78" s="212"/>
      <c r="AD78" s="212"/>
      <c r="AE78" s="212"/>
      <c r="AF78" s="212"/>
      <c r="AG78" s="212">
        <f t="shared" ref="AG78:AH78" si="69">W78+AA78</f>
        <v>0</v>
      </c>
      <c r="AH78" s="212">
        <f t="shared" si="69"/>
        <v>0</v>
      </c>
      <c r="AI78" s="212"/>
      <c r="AJ78" s="212"/>
      <c r="AK78" s="212">
        <f>AO78</f>
        <v>50</v>
      </c>
      <c r="AL78" s="212">
        <f>AP78</f>
        <v>50</v>
      </c>
      <c r="AM78" s="212">
        <f>AQ78</f>
        <v>0</v>
      </c>
      <c r="AN78" s="212">
        <f>AR78</f>
        <v>0</v>
      </c>
      <c r="AO78" s="212">
        <f>AP78</f>
        <v>50</v>
      </c>
      <c r="AP78" s="212">
        <v>50</v>
      </c>
      <c r="AQ78" s="212"/>
      <c r="AR78" s="212"/>
      <c r="AS78" s="212">
        <f t="shared" ref="AS78" si="70">V78+AP78</f>
        <v>50</v>
      </c>
      <c r="AT78" s="212">
        <f t="shared" ref="AT78" si="71">AU78</f>
        <v>50</v>
      </c>
      <c r="AU78" s="212">
        <f t="shared" ref="AU78" si="72">AH78+AP78</f>
        <v>50</v>
      </c>
      <c r="AV78" s="212">
        <f t="shared" ref="AV78" si="73">AW78</f>
        <v>3400</v>
      </c>
      <c r="AW78" s="212">
        <v>3400</v>
      </c>
      <c r="AX78" s="212"/>
      <c r="AY78" s="212"/>
      <c r="AZ78" s="243" t="s">
        <v>907</v>
      </c>
      <c r="BA78" s="201">
        <f>AW78</f>
        <v>3400</v>
      </c>
    </row>
    <row r="79" spans="1:53" s="262" customFormat="1" ht="42" customHeight="1">
      <c r="A79" s="268">
        <v>2</v>
      </c>
      <c r="B79" s="510" t="s">
        <v>974</v>
      </c>
      <c r="C79" s="260" t="s">
        <v>329</v>
      </c>
      <c r="D79" s="260"/>
      <c r="E79" s="303" t="s">
        <v>976</v>
      </c>
      <c r="F79" s="260"/>
      <c r="G79" s="243"/>
      <c r="H79" s="243" t="s">
        <v>367</v>
      </c>
      <c r="I79" s="620" t="s">
        <v>975</v>
      </c>
      <c r="J79" s="489">
        <f>+K79</f>
        <v>8000</v>
      </c>
      <c r="K79" s="489">
        <v>8000</v>
      </c>
      <c r="L79" s="212"/>
      <c r="M79" s="212"/>
      <c r="N79" s="212"/>
      <c r="O79" s="212"/>
      <c r="P79" s="212"/>
      <c r="Q79" s="212"/>
      <c r="R79" s="212">
        <f>S79</f>
        <v>8000</v>
      </c>
      <c r="S79" s="212">
        <v>8000</v>
      </c>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v>50</v>
      </c>
      <c r="AT79" s="212">
        <f>+AU79</f>
        <v>50</v>
      </c>
      <c r="AU79" s="212">
        <v>50</v>
      </c>
      <c r="AV79" s="212">
        <f>AW79</f>
        <v>3000</v>
      </c>
      <c r="AW79" s="212">
        <v>3000</v>
      </c>
      <c r="AX79" s="212"/>
      <c r="AY79" s="212"/>
      <c r="AZ79" s="243" t="s">
        <v>907</v>
      </c>
      <c r="BA79" s="201"/>
    </row>
    <row r="80" spans="1:53" s="262" customFormat="1" ht="42" customHeight="1">
      <c r="A80" s="268">
        <v>3</v>
      </c>
      <c r="B80" s="547" t="s">
        <v>1038</v>
      </c>
      <c r="C80" s="260"/>
      <c r="D80" s="260"/>
      <c r="E80" s="303" t="s">
        <v>809</v>
      </c>
      <c r="F80" s="260"/>
      <c r="G80" s="243"/>
      <c r="H80" s="243"/>
      <c r="I80" s="620" t="s">
        <v>1043</v>
      </c>
      <c r="J80" s="489">
        <f>+K80</f>
        <v>20000</v>
      </c>
      <c r="K80" s="489">
        <v>20000</v>
      </c>
      <c r="L80" s="212"/>
      <c r="M80" s="212"/>
      <c r="N80" s="212"/>
      <c r="O80" s="212"/>
      <c r="P80" s="212"/>
      <c r="Q80" s="212"/>
      <c r="R80" s="212">
        <f>+S80</f>
        <v>9546</v>
      </c>
      <c r="S80" s="647">
        <f>10000-454</f>
        <v>9546</v>
      </c>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f>+AW80</f>
        <v>4400</v>
      </c>
      <c r="AW80" s="212">
        <v>4400</v>
      </c>
      <c r="AX80" s="212"/>
      <c r="AY80" s="212"/>
      <c r="AZ80" s="243" t="s">
        <v>907</v>
      </c>
      <c r="BA80" s="201"/>
    </row>
    <row r="81" spans="1:53" s="270" customFormat="1" ht="54" customHeight="1">
      <c r="A81" s="268">
        <v>4</v>
      </c>
      <c r="B81" s="547" t="s">
        <v>1033</v>
      </c>
      <c r="C81" s="260" t="s">
        <v>329</v>
      </c>
      <c r="D81" s="260"/>
      <c r="E81" s="260"/>
      <c r="F81" s="260"/>
      <c r="G81" s="272"/>
      <c r="H81" s="243" t="s">
        <v>367</v>
      </c>
      <c r="I81" s="620" t="s">
        <v>1050</v>
      </c>
      <c r="J81" s="601">
        <f>+K81</f>
        <v>14990</v>
      </c>
      <c r="K81" s="601">
        <v>14990</v>
      </c>
      <c r="L81" s="354"/>
      <c r="M81" s="354"/>
      <c r="N81" s="354"/>
      <c r="O81" s="354"/>
      <c r="P81" s="354"/>
      <c r="Q81" s="354"/>
      <c r="R81" s="354">
        <f>+S81</f>
        <v>15000</v>
      </c>
      <c r="S81" s="354">
        <v>15000</v>
      </c>
      <c r="T81" s="212"/>
      <c r="U81" s="212"/>
      <c r="V81" s="212"/>
      <c r="W81" s="212">
        <v>34</v>
      </c>
      <c r="X81" s="212">
        <v>34</v>
      </c>
      <c r="Y81" s="212"/>
      <c r="Z81" s="212"/>
      <c r="AA81" s="212"/>
      <c r="AB81" s="212"/>
      <c r="AC81" s="212"/>
      <c r="AD81" s="212"/>
      <c r="AE81" s="212"/>
      <c r="AF81" s="212"/>
      <c r="AG81" s="212">
        <f t="shared" ref="AG81" si="74">W81+AA81</f>
        <v>34</v>
      </c>
      <c r="AH81" s="212">
        <f t="shared" ref="AH81" si="75">X81+AB81</f>
        <v>34</v>
      </c>
      <c r="AI81" s="212"/>
      <c r="AJ81" s="212"/>
      <c r="AK81" s="212">
        <f t="shared" ref="AK81" si="76">AO81</f>
        <v>50</v>
      </c>
      <c r="AL81" s="212">
        <f t="shared" ref="AL81" si="77">AP81</f>
        <v>50</v>
      </c>
      <c r="AM81" s="212">
        <f t="shared" ref="AM81" si="78">AQ81</f>
        <v>0</v>
      </c>
      <c r="AN81" s="212">
        <f t="shared" ref="AN81" si="79">AR81</f>
        <v>0</v>
      </c>
      <c r="AO81" s="273">
        <f>AP81</f>
        <v>50</v>
      </c>
      <c r="AP81" s="273">
        <v>50</v>
      </c>
      <c r="AQ81" s="212"/>
      <c r="AR81" s="212"/>
      <c r="AS81" s="212"/>
      <c r="AT81" s="212"/>
      <c r="AU81" s="212"/>
      <c r="AV81" s="212">
        <f t="shared" ref="AV81" si="80">AW81</f>
        <v>3000</v>
      </c>
      <c r="AW81" s="212">
        <v>3000</v>
      </c>
      <c r="AX81" s="212"/>
      <c r="AY81" s="212"/>
      <c r="AZ81" s="243" t="s">
        <v>1034</v>
      </c>
      <c r="BA81" s="279"/>
    </row>
    <row r="82" spans="1:53" s="270" customFormat="1" ht="28.5" customHeight="1">
      <c r="A82" s="268"/>
      <c r="B82" s="269"/>
      <c r="C82" s="260"/>
      <c r="D82" s="260"/>
      <c r="E82" s="260"/>
      <c r="F82" s="260"/>
      <c r="G82" s="272"/>
      <c r="H82" s="272"/>
      <c r="I82" s="211"/>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73"/>
      <c r="AP82" s="273"/>
      <c r="AQ82" s="212"/>
      <c r="AR82" s="212"/>
      <c r="AS82" s="212"/>
      <c r="AT82" s="212"/>
      <c r="AU82" s="212"/>
      <c r="AV82" s="212"/>
      <c r="AW82" s="212"/>
      <c r="AX82" s="212"/>
      <c r="AY82" s="212"/>
      <c r="AZ82" s="272"/>
      <c r="BA82" s="279"/>
    </row>
    <row r="83" spans="1:53" s="232" customFormat="1" ht="30" customHeight="1">
      <c r="A83" s="227"/>
      <c r="B83" s="228" t="s">
        <v>327</v>
      </c>
      <c r="C83" s="229"/>
      <c r="D83" s="229"/>
      <c r="E83" s="229"/>
      <c r="F83" s="229"/>
      <c r="G83" s="229"/>
      <c r="H83" s="229"/>
      <c r="I83" s="231"/>
      <c r="J83" s="215"/>
      <c r="K83" s="215"/>
      <c r="L83" s="215"/>
      <c r="M83" s="215"/>
      <c r="N83" s="215"/>
      <c r="O83" s="215"/>
      <c r="P83" s="212"/>
      <c r="Q83" s="212"/>
      <c r="R83" s="215"/>
      <c r="S83" s="215"/>
      <c r="T83" s="215"/>
      <c r="U83" s="215"/>
      <c r="V83" s="215"/>
      <c r="W83" s="215"/>
      <c r="X83" s="215"/>
      <c r="Y83" s="215"/>
      <c r="Z83" s="215"/>
      <c r="AA83" s="215"/>
      <c r="AB83" s="215">
        <v>46928</v>
      </c>
      <c r="AC83" s="215"/>
      <c r="AD83" s="215"/>
      <c r="AE83" s="215"/>
      <c r="AF83" s="215"/>
      <c r="AG83" s="215"/>
      <c r="AH83" s="215"/>
      <c r="AI83" s="215"/>
      <c r="AJ83" s="215"/>
      <c r="AK83" s="215"/>
      <c r="AL83" s="215"/>
      <c r="AM83" s="215"/>
      <c r="AN83" s="215"/>
      <c r="AO83" s="215"/>
      <c r="AP83" s="215">
        <v>49200.521336535887</v>
      </c>
      <c r="AQ83" s="215"/>
      <c r="AR83" s="215"/>
      <c r="AS83" s="215"/>
      <c r="AT83" s="215"/>
      <c r="AU83" s="215"/>
      <c r="AV83" s="215"/>
      <c r="AW83" s="215" t="e">
        <f>#REF!</f>
        <v>#REF!</v>
      </c>
      <c r="AX83" s="215"/>
      <c r="AY83" s="215"/>
      <c r="AZ83" s="230" t="e">
        <f>AW83-AW84</f>
        <v>#REF!</v>
      </c>
    </row>
    <row r="84" spans="1:53" s="251" customFormat="1" ht="36.6" customHeight="1">
      <c r="A84" s="252" t="s">
        <v>48</v>
      </c>
      <c r="B84" s="253" t="s">
        <v>349</v>
      </c>
      <c r="C84" s="229"/>
      <c r="D84" s="229"/>
      <c r="E84" s="229"/>
      <c r="F84" s="229"/>
      <c r="G84" s="235"/>
      <c r="H84" s="229"/>
      <c r="I84" s="231"/>
      <c r="J84" s="215">
        <f>J85+J91+J100+J108+J112</f>
        <v>287412</v>
      </c>
      <c r="K84" s="215">
        <f t="shared" ref="K84:AY84" si="81">K85+K91+K100+K108+K112</f>
        <v>172212</v>
      </c>
      <c r="L84" s="215">
        <f t="shared" si="81"/>
        <v>12320</v>
      </c>
      <c r="M84" s="215">
        <f t="shared" si="81"/>
        <v>0</v>
      </c>
      <c r="N84" s="215">
        <f t="shared" si="81"/>
        <v>12320</v>
      </c>
      <c r="O84" s="215">
        <f t="shared" si="81"/>
        <v>0</v>
      </c>
      <c r="P84" s="215">
        <f t="shared" si="81"/>
        <v>46754</v>
      </c>
      <c r="Q84" s="215">
        <f t="shared" si="81"/>
        <v>1004</v>
      </c>
      <c r="R84" s="215">
        <f t="shared" si="81"/>
        <v>246779.6</v>
      </c>
      <c r="S84" s="215">
        <f t="shared" si="81"/>
        <v>150626</v>
      </c>
      <c r="T84" s="215">
        <f t="shared" si="81"/>
        <v>0</v>
      </c>
      <c r="U84" s="215">
        <f t="shared" si="81"/>
        <v>0</v>
      </c>
      <c r="V84" s="215">
        <f t="shared" si="81"/>
        <v>91421</v>
      </c>
      <c r="W84" s="215">
        <f t="shared" si="81"/>
        <v>34434</v>
      </c>
      <c r="X84" s="215">
        <f t="shared" si="81"/>
        <v>1004</v>
      </c>
      <c r="Y84" s="215">
        <f t="shared" si="81"/>
        <v>0</v>
      </c>
      <c r="Z84" s="215">
        <f t="shared" si="81"/>
        <v>0</v>
      </c>
      <c r="AA84" s="215">
        <f t="shared" si="81"/>
        <v>56570</v>
      </c>
      <c r="AB84" s="215">
        <f t="shared" si="81"/>
        <v>25570</v>
      </c>
      <c r="AC84" s="215">
        <f t="shared" si="81"/>
        <v>0</v>
      </c>
      <c r="AD84" s="215">
        <f t="shared" si="81"/>
        <v>0</v>
      </c>
      <c r="AE84" s="215">
        <f t="shared" si="81"/>
        <v>4724.1640000000007</v>
      </c>
      <c r="AF84" s="215">
        <f t="shared" si="81"/>
        <v>6794.1639999999989</v>
      </c>
      <c r="AG84" s="215">
        <f t="shared" si="81"/>
        <v>97136</v>
      </c>
      <c r="AH84" s="215">
        <f t="shared" si="81"/>
        <v>26574</v>
      </c>
      <c r="AI84" s="215">
        <f t="shared" si="81"/>
        <v>0</v>
      </c>
      <c r="AJ84" s="215">
        <f t="shared" si="81"/>
        <v>0</v>
      </c>
      <c r="AK84" s="215">
        <f t="shared" si="81"/>
        <v>37874</v>
      </c>
      <c r="AL84" s="215">
        <f t="shared" si="81"/>
        <v>37874</v>
      </c>
      <c r="AM84" s="215">
        <f t="shared" si="81"/>
        <v>0</v>
      </c>
      <c r="AN84" s="215">
        <f t="shared" si="81"/>
        <v>0</v>
      </c>
      <c r="AO84" s="215">
        <f t="shared" si="81"/>
        <v>37281</v>
      </c>
      <c r="AP84" s="215">
        <f t="shared" si="81"/>
        <v>37281</v>
      </c>
      <c r="AQ84" s="215">
        <f t="shared" si="81"/>
        <v>0</v>
      </c>
      <c r="AR84" s="215">
        <f t="shared" si="81"/>
        <v>0</v>
      </c>
      <c r="AS84" s="215">
        <f t="shared" si="81"/>
        <v>130702</v>
      </c>
      <c r="AT84" s="215">
        <f t="shared" si="81"/>
        <v>65855</v>
      </c>
      <c r="AU84" s="215">
        <f t="shared" si="81"/>
        <v>63855</v>
      </c>
      <c r="AV84" s="215">
        <f t="shared" si="81"/>
        <v>58163</v>
      </c>
      <c r="AW84" s="215">
        <f t="shared" si="81"/>
        <v>58163</v>
      </c>
      <c r="AX84" s="215">
        <f t="shared" si="81"/>
        <v>0</v>
      </c>
      <c r="AY84" s="215">
        <f t="shared" si="81"/>
        <v>0</v>
      </c>
      <c r="AZ84" s="265">
        <f>+AW87+AW89+AW93+AW94+AW97+AW98+AW99+AW102+AW103+AW104+AW105+AW106+AW107+AW112+AW110</f>
        <v>58163</v>
      </c>
      <c r="BA84" s="232"/>
    </row>
    <row r="85" spans="1:53" s="291" customFormat="1" ht="39.75" customHeight="1">
      <c r="A85" s="548" t="s">
        <v>33</v>
      </c>
      <c r="B85" s="540" t="s">
        <v>1029</v>
      </c>
      <c r="C85" s="255"/>
      <c r="D85" s="255"/>
      <c r="E85" s="255"/>
      <c r="F85" s="255"/>
      <c r="G85" s="255"/>
      <c r="H85" s="255"/>
      <c r="I85" s="256"/>
      <c r="J85" s="277">
        <f>J86</f>
        <v>111000</v>
      </c>
      <c r="K85" s="277">
        <f t="shared" ref="K85:AY85" si="82">K86</f>
        <v>11100</v>
      </c>
      <c r="L85" s="277">
        <f t="shared" si="82"/>
        <v>12320</v>
      </c>
      <c r="M85" s="277">
        <f t="shared" si="82"/>
        <v>0</v>
      </c>
      <c r="N85" s="277">
        <f t="shared" si="82"/>
        <v>12320</v>
      </c>
      <c r="O85" s="277">
        <f t="shared" si="82"/>
        <v>0</v>
      </c>
      <c r="P85" s="277">
        <f t="shared" si="82"/>
        <v>45750</v>
      </c>
      <c r="Q85" s="277">
        <f t="shared" si="82"/>
        <v>0</v>
      </c>
      <c r="R85" s="277">
        <f t="shared" si="82"/>
        <v>87580</v>
      </c>
      <c r="S85" s="277">
        <f t="shared" si="82"/>
        <v>9990</v>
      </c>
      <c r="T85" s="277">
        <f t="shared" si="82"/>
        <v>0</v>
      </c>
      <c r="U85" s="277">
        <f t="shared" si="82"/>
        <v>0</v>
      </c>
      <c r="V85" s="277">
        <f t="shared" si="82"/>
        <v>65750</v>
      </c>
      <c r="W85" s="277">
        <f t="shared" si="82"/>
        <v>33430</v>
      </c>
      <c r="X85" s="277">
        <f t="shared" si="82"/>
        <v>0</v>
      </c>
      <c r="Y85" s="277">
        <f t="shared" si="82"/>
        <v>0</v>
      </c>
      <c r="Z85" s="277">
        <f t="shared" si="82"/>
        <v>0</v>
      </c>
      <c r="AA85" s="277">
        <f t="shared" si="82"/>
        <v>20000</v>
      </c>
      <c r="AB85" s="277">
        <f t="shared" si="82"/>
        <v>0</v>
      </c>
      <c r="AC85" s="277">
        <f t="shared" si="82"/>
        <v>0</v>
      </c>
      <c r="AD85" s="277">
        <f t="shared" si="82"/>
        <v>0</v>
      </c>
      <c r="AE85" s="277">
        <f t="shared" si="82"/>
        <v>0</v>
      </c>
      <c r="AF85" s="277">
        <f t="shared" si="82"/>
        <v>0</v>
      </c>
      <c r="AG85" s="277">
        <f t="shared" si="82"/>
        <v>53430</v>
      </c>
      <c r="AH85" s="277">
        <f t="shared" si="82"/>
        <v>0</v>
      </c>
      <c r="AI85" s="277">
        <f t="shared" si="82"/>
        <v>0</v>
      </c>
      <c r="AJ85" s="277">
        <f t="shared" si="82"/>
        <v>0</v>
      </c>
      <c r="AK85" s="277">
        <f t="shared" si="82"/>
        <v>2000</v>
      </c>
      <c r="AL85" s="277">
        <f t="shared" si="82"/>
        <v>2000</v>
      </c>
      <c r="AM85" s="277">
        <f t="shared" si="82"/>
        <v>0</v>
      </c>
      <c r="AN85" s="277">
        <f t="shared" si="82"/>
        <v>0</v>
      </c>
      <c r="AO85" s="277">
        <f t="shared" si="82"/>
        <v>2000</v>
      </c>
      <c r="AP85" s="277">
        <f t="shared" si="82"/>
        <v>2000</v>
      </c>
      <c r="AQ85" s="277">
        <f t="shared" si="82"/>
        <v>0</v>
      </c>
      <c r="AR85" s="277">
        <f t="shared" si="82"/>
        <v>0</v>
      </c>
      <c r="AS85" s="277">
        <f t="shared" si="82"/>
        <v>67750</v>
      </c>
      <c r="AT85" s="277">
        <f t="shared" si="82"/>
        <v>2000</v>
      </c>
      <c r="AU85" s="277">
        <f t="shared" si="82"/>
        <v>2000</v>
      </c>
      <c r="AV85" s="277">
        <f t="shared" si="82"/>
        <v>1000</v>
      </c>
      <c r="AW85" s="277">
        <f t="shared" si="82"/>
        <v>1000</v>
      </c>
      <c r="AX85" s="277">
        <f t="shared" si="82"/>
        <v>0</v>
      </c>
      <c r="AY85" s="277">
        <f t="shared" si="82"/>
        <v>0</v>
      </c>
      <c r="AZ85" s="255"/>
      <c r="BA85" s="658"/>
    </row>
    <row r="86" spans="1:53" s="292" customFormat="1" ht="39.75" customHeight="1">
      <c r="A86" s="227" t="s">
        <v>35</v>
      </c>
      <c r="B86" s="234" t="s">
        <v>43</v>
      </c>
      <c r="C86" s="229"/>
      <c r="D86" s="229"/>
      <c r="E86" s="229"/>
      <c r="F86" s="229"/>
      <c r="G86" s="229"/>
      <c r="H86" s="229"/>
      <c r="I86" s="231"/>
      <c r="J86" s="215">
        <f>J87</f>
        <v>111000</v>
      </c>
      <c r="K86" s="215">
        <f t="shared" ref="K86:AY86" si="83">K87</f>
        <v>11100</v>
      </c>
      <c r="L86" s="215">
        <f t="shared" si="83"/>
        <v>12320</v>
      </c>
      <c r="M86" s="215">
        <f t="shared" si="83"/>
        <v>0</v>
      </c>
      <c r="N86" s="215">
        <f t="shared" si="83"/>
        <v>12320</v>
      </c>
      <c r="O86" s="215">
        <f t="shared" si="83"/>
        <v>0</v>
      </c>
      <c r="P86" s="215">
        <f t="shared" si="83"/>
        <v>45750</v>
      </c>
      <c r="Q86" s="215">
        <f t="shared" si="83"/>
        <v>0</v>
      </c>
      <c r="R86" s="215">
        <f t="shared" si="83"/>
        <v>87580</v>
      </c>
      <c r="S86" s="215">
        <f t="shared" si="83"/>
        <v>9990</v>
      </c>
      <c r="T86" s="215">
        <f t="shared" si="83"/>
        <v>0</v>
      </c>
      <c r="U86" s="215">
        <f t="shared" si="83"/>
        <v>0</v>
      </c>
      <c r="V86" s="215">
        <f t="shared" si="83"/>
        <v>65750</v>
      </c>
      <c r="W86" s="215">
        <f t="shared" si="83"/>
        <v>33430</v>
      </c>
      <c r="X86" s="215">
        <f t="shared" si="83"/>
        <v>0</v>
      </c>
      <c r="Y86" s="215">
        <f t="shared" si="83"/>
        <v>0</v>
      </c>
      <c r="Z86" s="215">
        <f t="shared" si="83"/>
        <v>0</v>
      </c>
      <c r="AA86" s="215">
        <f t="shared" si="83"/>
        <v>20000</v>
      </c>
      <c r="AB86" s="215">
        <f t="shared" si="83"/>
        <v>0</v>
      </c>
      <c r="AC86" s="215">
        <f t="shared" si="83"/>
        <v>0</v>
      </c>
      <c r="AD86" s="215">
        <f t="shared" si="83"/>
        <v>0</v>
      </c>
      <c r="AE86" s="215">
        <f t="shared" si="83"/>
        <v>0</v>
      </c>
      <c r="AF86" s="215">
        <f t="shared" si="83"/>
        <v>0</v>
      </c>
      <c r="AG86" s="215">
        <f t="shared" si="83"/>
        <v>53430</v>
      </c>
      <c r="AH86" s="215">
        <f t="shared" si="83"/>
        <v>0</v>
      </c>
      <c r="AI86" s="215"/>
      <c r="AJ86" s="215"/>
      <c r="AK86" s="215">
        <f t="shared" si="83"/>
        <v>2000</v>
      </c>
      <c r="AL86" s="215">
        <f t="shared" si="83"/>
        <v>2000</v>
      </c>
      <c r="AM86" s="215">
        <f t="shared" si="83"/>
        <v>0</v>
      </c>
      <c r="AN86" s="215">
        <f t="shared" si="83"/>
        <v>0</v>
      </c>
      <c r="AO86" s="215">
        <f t="shared" si="83"/>
        <v>2000</v>
      </c>
      <c r="AP86" s="215">
        <f t="shared" si="83"/>
        <v>2000</v>
      </c>
      <c r="AQ86" s="215">
        <f t="shared" si="83"/>
        <v>0</v>
      </c>
      <c r="AR86" s="215">
        <f t="shared" si="83"/>
        <v>0</v>
      </c>
      <c r="AS86" s="215">
        <f t="shared" si="83"/>
        <v>67750</v>
      </c>
      <c r="AT86" s="215">
        <f t="shared" si="83"/>
        <v>2000</v>
      </c>
      <c r="AU86" s="215">
        <f t="shared" si="83"/>
        <v>2000</v>
      </c>
      <c r="AV86" s="215">
        <f t="shared" si="83"/>
        <v>1000</v>
      </c>
      <c r="AW86" s="215">
        <f t="shared" si="83"/>
        <v>1000</v>
      </c>
      <c r="AX86" s="215">
        <f t="shared" si="83"/>
        <v>0</v>
      </c>
      <c r="AY86" s="215">
        <f t="shared" si="83"/>
        <v>0</v>
      </c>
      <c r="AZ86" s="229"/>
      <c r="BA86" s="479"/>
    </row>
    <row r="87" spans="1:53" s="296" customFormat="1" ht="38.25" customHeight="1">
      <c r="A87" s="258">
        <v>1</v>
      </c>
      <c r="B87" s="293" t="s">
        <v>353</v>
      </c>
      <c r="C87" s="243" t="s">
        <v>350</v>
      </c>
      <c r="D87" s="243"/>
      <c r="E87" s="243" t="s">
        <v>811</v>
      </c>
      <c r="F87" s="243"/>
      <c r="G87" s="294" t="s">
        <v>354</v>
      </c>
      <c r="H87" s="294" t="s">
        <v>355</v>
      </c>
      <c r="I87" s="248" t="s">
        <v>356</v>
      </c>
      <c r="J87" s="295">
        <v>111000</v>
      </c>
      <c r="K87" s="295">
        <f>J87-99900</f>
        <v>11100</v>
      </c>
      <c r="L87" s="212">
        <v>12320</v>
      </c>
      <c r="M87" s="212"/>
      <c r="N87" s="212">
        <f>L87</f>
        <v>12320</v>
      </c>
      <c r="O87" s="212"/>
      <c r="P87" s="212">
        <f>L87+W87</f>
        <v>45750</v>
      </c>
      <c r="Q87" s="212">
        <f>M87+X87</f>
        <v>0</v>
      </c>
      <c r="R87" s="273">
        <v>87580</v>
      </c>
      <c r="S87" s="273">
        <v>9990</v>
      </c>
      <c r="T87" s="212"/>
      <c r="U87" s="212"/>
      <c r="V87" s="212">
        <f>12320+33430+20000</f>
        <v>65750</v>
      </c>
      <c r="W87" s="295">
        <v>33430</v>
      </c>
      <c r="X87" s="273"/>
      <c r="Y87" s="212"/>
      <c r="Z87" s="212"/>
      <c r="AA87" s="295">
        <v>20000</v>
      </c>
      <c r="AB87" s="273"/>
      <c r="AC87" s="212"/>
      <c r="AD87" s="212"/>
      <c r="AE87" s="566">
        <v>0</v>
      </c>
      <c r="AF87" s="566"/>
      <c r="AG87" s="212">
        <f>W87+AA87</f>
        <v>53430</v>
      </c>
      <c r="AH87" s="212">
        <f>X87+AB87</f>
        <v>0</v>
      </c>
      <c r="AI87" s="212"/>
      <c r="AJ87" s="212"/>
      <c r="AK87" s="212">
        <f>AL87</f>
        <v>2000</v>
      </c>
      <c r="AL87" s="212">
        <f>AO87</f>
        <v>2000</v>
      </c>
      <c r="AM87" s="212">
        <f>AQ87</f>
        <v>0</v>
      </c>
      <c r="AN87" s="212">
        <f>AR87</f>
        <v>0</v>
      </c>
      <c r="AO87" s="212">
        <f>AP87</f>
        <v>2000</v>
      </c>
      <c r="AP87" s="212">
        <v>2000</v>
      </c>
      <c r="AQ87" s="212"/>
      <c r="AR87" s="212"/>
      <c r="AS87" s="212">
        <f t="shared" ref="AS87" si="84">V87+AP87</f>
        <v>67750</v>
      </c>
      <c r="AT87" s="212">
        <f t="shared" ref="AT87:AT89" si="85">AU87</f>
        <v>2000</v>
      </c>
      <c r="AU87" s="212">
        <f t="shared" ref="AU87" si="86">AH87+AP87</f>
        <v>2000</v>
      </c>
      <c r="AV87" s="212">
        <f t="shared" ref="AV87:AV89" si="87">AW87</f>
        <v>1000</v>
      </c>
      <c r="AW87" s="212">
        <v>1000</v>
      </c>
      <c r="AX87" s="212"/>
      <c r="AY87" s="212"/>
      <c r="AZ87" s="261"/>
      <c r="BA87" s="659"/>
    </row>
    <row r="88" spans="1:53" s="292" customFormat="1" ht="29.25" hidden="1" customHeight="1">
      <c r="A88" s="275" t="s">
        <v>42</v>
      </c>
      <c r="B88" s="236" t="s">
        <v>45</v>
      </c>
      <c r="C88" s="229"/>
      <c r="D88" s="229"/>
      <c r="E88" s="229"/>
      <c r="F88" s="229"/>
      <c r="G88" s="297"/>
      <c r="H88" s="297"/>
      <c r="I88" s="231"/>
      <c r="J88" s="298">
        <f>SUM(J89:J89)</f>
        <v>50000</v>
      </c>
      <c r="K88" s="298">
        <f t="shared" ref="K88:AW88" si="88">SUM(K89:K89)</f>
        <v>20000</v>
      </c>
      <c r="L88" s="298">
        <f t="shared" si="88"/>
        <v>30000</v>
      </c>
      <c r="M88" s="298">
        <f t="shared" si="88"/>
        <v>0</v>
      </c>
      <c r="N88" s="298">
        <f t="shared" si="88"/>
        <v>30000</v>
      </c>
      <c r="O88" s="298">
        <f t="shared" si="88"/>
        <v>0</v>
      </c>
      <c r="P88" s="298">
        <f t="shared" si="88"/>
        <v>36500</v>
      </c>
      <c r="Q88" s="298">
        <f t="shared" si="88"/>
        <v>4500</v>
      </c>
      <c r="R88" s="298">
        <f t="shared" si="88"/>
        <v>15000</v>
      </c>
      <c r="S88" s="298">
        <f t="shared" si="88"/>
        <v>15000</v>
      </c>
      <c r="T88" s="298">
        <f t="shared" si="88"/>
        <v>0</v>
      </c>
      <c r="U88" s="298">
        <f t="shared" si="88"/>
        <v>0</v>
      </c>
      <c r="V88" s="298">
        <f t="shared" si="88"/>
        <v>39500</v>
      </c>
      <c r="W88" s="298">
        <f t="shared" si="88"/>
        <v>6500</v>
      </c>
      <c r="X88" s="298">
        <f t="shared" si="88"/>
        <v>4500</v>
      </c>
      <c r="Y88" s="298">
        <f t="shared" si="88"/>
        <v>0</v>
      </c>
      <c r="Z88" s="298">
        <f t="shared" si="88"/>
        <v>0</v>
      </c>
      <c r="AA88" s="298">
        <f t="shared" si="88"/>
        <v>7000</v>
      </c>
      <c r="AB88" s="298">
        <f t="shared" si="88"/>
        <v>7000</v>
      </c>
      <c r="AC88" s="298">
        <f t="shared" si="88"/>
        <v>0</v>
      </c>
      <c r="AD88" s="298">
        <f t="shared" si="88"/>
        <v>0</v>
      </c>
      <c r="AE88" s="298">
        <f t="shared" si="88"/>
        <v>2500</v>
      </c>
      <c r="AF88" s="298">
        <f t="shared" si="88"/>
        <v>2500</v>
      </c>
      <c r="AG88" s="298">
        <f t="shared" si="88"/>
        <v>13500</v>
      </c>
      <c r="AH88" s="298">
        <f t="shared" si="88"/>
        <v>11500</v>
      </c>
      <c r="AI88" s="298">
        <f t="shared" si="88"/>
        <v>0</v>
      </c>
      <c r="AJ88" s="298">
        <f t="shared" si="88"/>
        <v>0</v>
      </c>
      <c r="AK88" s="298">
        <f t="shared" si="88"/>
        <v>1800</v>
      </c>
      <c r="AL88" s="298">
        <f t="shared" si="88"/>
        <v>1800</v>
      </c>
      <c r="AM88" s="298">
        <f t="shared" si="88"/>
        <v>0</v>
      </c>
      <c r="AN88" s="298">
        <f t="shared" si="88"/>
        <v>0</v>
      </c>
      <c r="AO88" s="298">
        <f t="shared" si="88"/>
        <v>1800</v>
      </c>
      <c r="AP88" s="298">
        <f t="shared" si="88"/>
        <v>1800</v>
      </c>
      <c r="AQ88" s="298">
        <f t="shared" si="88"/>
        <v>0</v>
      </c>
      <c r="AR88" s="298">
        <f t="shared" si="88"/>
        <v>0</v>
      </c>
      <c r="AS88" s="298">
        <f t="shared" si="88"/>
        <v>41300</v>
      </c>
      <c r="AT88" s="298">
        <f t="shared" si="88"/>
        <v>13300</v>
      </c>
      <c r="AU88" s="298">
        <f t="shared" si="88"/>
        <v>13300</v>
      </c>
      <c r="AV88" s="298">
        <f t="shared" si="88"/>
        <v>0</v>
      </c>
      <c r="AW88" s="298">
        <f t="shared" si="88"/>
        <v>0</v>
      </c>
      <c r="AX88" s="298"/>
      <c r="AY88" s="298"/>
      <c r="AZ88" s="265"/>
      <c r="BA88" s="479"/>
    </row>
    <row r="89" spans="1:53" s="262" customFormat="1" ht="39" hidden="1" customHeight="1">
      <c r="A89" s="649">
        <v>1</v>
      </c>
      <c r="B89" s="290" t="s">
        <v>351</v>
      </c>
      <c r="C89" s="243" t="s">
        <v>350</v>
      </c>
      <c r="D89" s="243"/>
      <c r="E89" s="243"/>
      <c r="F89" s="243"/>
      <c r="G89" s="243"/>
      <c r="H89" s="243"/>
      <c r="I89" s="248" t="s">
        <v>352</v>
      </c>
      <c r="J89" s="212">
        <v>50000</v>
      </c>
      <c r="K89" s="212">
        <v>20000</v>
      </c>
      <c r="L89" s="212">
        <v>30000</v>
      </c>
      <c r="M89" s="212"/>
      <c r="N89" s="212">
        <v>30000</v>
      </c>
      <c r="O89" s="212">
        <v>0</v>
      </c>
      <c r="P89" s="212">
        <f t="shared" ref="P89:Q90" si="89">L89+W89</f>
        <v>36500</v>
      </c>
      <c r="Q89" s="212">
        <f t="shared" si="89"/>
        <v>4500</v>
      </c>
      <c r="R89" s="212">
        <f>S89</f>
        <v>15000</v>
      </c>
      <c r="S89" s="212">
        <v>15000</v>
      </c>
      <c r="T89" s="212"/>
      <c r="U89" s="212"/>
      <c r="V89" s="212">
        <f>30000+4500+5000</f>
        <v>39500</v>
      </c>
      <c r="W89" s="212">
        <v>6500</v>
      </c>
      <c r="X89" s="212">
        <v>4500</v>
      </c>
      <c r="Y89" s="212"/>
      <c r="Z89" s="212"/>
      <c r="AA89" s="212">
        <f>AB89</f>
        <v>7000</v>
      </c>
      <c r="AB89" s="212">
        <v>7000</v>
      </c>
      <c r="AC89" s="212"/>
      <c r="AD89" s="212"/>
      <c r="AE89" s="273">
        <v>2500</v>
      </c>
      <c r="AF89" s="273">
        <v>2500</v>
      </c>
      <c r="AG89" s="212">
        <f t="shared" ref="AG89:AG106" si="90">W89+AA89</f>
        <v>13500</v>
      </c>
      <c r="AH89" s="212">
        <f t="shared" ref="AH89:AH106" si="91">X89+AB89</f>
        <v>11500</v>
      </c>
      <c r="AI89" s="212"/>
      <c r="AJ89" s="212"/>
      <c r="AK89" s="212">
        <f t="shared" ref="AK89:AK104" si="92">AO89</f>
        <v>1800</v>
      </c>
      <c r="AL89" s="212">
        <f t="shared" ref="AL89:AL104" si="93">AP89</f>
        <v>1800</v>
      </c>
      <c r="AM89" s="212">
        <f t="shared" ref="AM89:AM106" si="94">AQ89</f>
        <v>0</v>
      </c>
      <c r="AN89" s="212">
        <f t="shared" ref="AN89:AN104" si="95">AR89</f>
        <v>0</v>
      </c>
      <c r="AO89" s="212">
        <f>AP89</f>
        <v>1800</v>
      </c>
      <c r="AP89" s="212">
        <v>1800</v>
      </c>
      <c r="AQ89" s="212"/>
      <c r="AR89" s="212"/>
      <c r="AS89" s="212">
        <f t="shared" ref="AS89" si="96">V89+AP89</f>
        <v>41300</v>
      </c>
      <c r="AT89" s="212">
        <f t="shared" si="85"/>
        <v>13300</v>
      </c>
      <c r="AU89" s="212">
        <f t="shared" ref="AU89" si="97">AH89+AP89</f>
        <v>13300</v>
      </c>
      <c r="AV89" s="212">
        <f t="shared" si="87"/>
        <v>0</v>
      </c>
      <c r="AW89" s="212"/>
      <c r="AX89" s="212"/>
      <c r="AY89" s="212"/>
      <c r="AZ89" s="261"/>
      <c r="BA89" s="201"/>
    </row>
    <row r="90" spans="1:53" s="270" customFormat="1" ht="48.95" hidden="1" customHeight="1">
      <c r="A90" s="209">
        <v>2</v>
      </c>
      <c r="B90" s="289" t="s">
        <v>372</v>
      </c>
      <c r="C90" s="243" t="s">
        <v>350</v>
      </c>
      <c r="D90" s="243"/>
      <c r="E90" s="243" t="s">
        <v>811</v>
      </c>
      <c r="F90" s="243"/>
      <c r="G90" s="272"/>
      <c r="H90" s="243" t="s">
        <v>781</v>
      </c>
      <c r="I90" s="248" t="s">
        <v>373</v>
      </c>
      <c r="J90" s="212">
        <v>13000</v>
      </c>
      <c r="K90" s="212">
        <v>13000</v>
      </c>
      <c r="L90" s="212"/>
      <c r="M90" s="212"/>
      <c r="N90" s="212"/>
      <c r="O90" s="212"/>
      <c r="P90" s="212">
        <f t="shared" si="89"/>
        <v>0</v>
      </c>
      <c r="Q90" s="212">
        <f t="shared" si="89"/>
        <v>0</v>
      </c>
      <c r="R90" s="212">
        <f>S90</f>
        <v>13000</v>
      </c>
      <c r="S90" s="212">
        <v>13000</v>
      </c>
      <c r="T90" s="212"/>
      <c r="U90" s="212">
        <v>0</v>
      </c>
      <c r="V90" s="212">
        <v>3640</v>
      </c>
      <c r="W90" s="212"/>
      <c r="X90" s="212"/>
      <c r="Y90" s="212"/>
      <c r="Z90" s="212"/>
      <c r="AA90" s="212">
        <v>3640</v>
      </c>
      <c r="AB90" s="212">
        <v>3640</v>
      </c>
      <c r="AC90" s="212"/>
      <c r="AD90" s="212"/>
      <c r="AE90" s="273">
        <v>10.391</v>
      </c>
      <c r="AF90" s="273">
        <v>3010.3910000000001</v>
      </c>
      <c r="AG90" s="212">
        <f>W90+AA90</f>
        <v>3640</v>
      </c>
      <c r="AH90" s="212">
        <f>X90+AB90</f>
        <v>3640</v>
      </c>
      <c r="AI90" s="212"/>
      <c r="AJ90" s="212"/>
      <c r="AK90" s="212">
        <f>AL90</f>
        <v>9360</v>
      </c>
      <c r="AL90" s="212">
        <f>S90-AB90</f>
        <v>9360</v>
      </c>
      <c r="AM90" s="212">
        <f>AQ90</f>
        <v>0</v>
      </c>
      <c r="AN90" s="212">
        <f>AR90</f>
        <v>0</v>
      </c>
      <c r="AO90" s="212">
        <f>AP90</f>
        <v>9000</v>
      </c>
      <c r="AP90" s="212">
        <v>9000</v>
      </c>
      <c r="AQ90" s="212"/>
      <c r="AR90" s="212"/>
      <c r="AS90" s="212">
        <f>V90+AP90</f>
        <v>12640</v>
      </c>
      <c r="AT90" s="212">
        <f>AU90</f>
        <v>12640</v>
      </c>
      <c r="AU90" s="212">
        <f>AH90+AP90</f>
        <v>12640</v>
      </c>
      <c r="AV90" s="212">
        <f>AW90</f>
        <v>0</v>
      </c>
      <c r="AW90" s="212"/>
      <c r="AX90" s="212"/>
      <c r="AY90" s="212"/>
      <c r="AZ90" s="527"/>
      <c r="BA90" s="279"/>
    </row>
    <row r="91" spans="1:53" s="533" customFormat="1" ht="38.25" customHeight="1">
      <c r="A91" s="227" t="s">
        <v>46</v>
      </c>
      <c r="B91" s="234" t="s">
        <v>897</v>
      </c>
      <c r="C91" s="255"/>
      <c r="D91" s="255"/>
      <c r="E91" s="255"/>
      <c r="F91" s="255"/>
      <c r="G91" s="255"/>
      <c r="H91" s="255"/>
      <c r="I91" s="256"/>
      <c r="J91" s="277">
        <f>J92</f>
        <v>100512</v>
      </c>
      <c r="K91" s="277">
        <f t="shared" ref="K91:AY91" si="98">K92</f>
        <v>85212</v>
      </c>
      <c r="L91" s="277">
        <f t="shared" si="98"/>
        <v>0</v>
      </c>
      <c r="M91" s="277">
        <f t="shared" si="98"/>
        <v>0</v>
      </c>
      <c r="N91" s="277">
        <f t="shared" si="98"/>
        <v>0</v>
      </c>
      <c r="O91" s="277">
        <f t="shared" si="98"/>
        <v>0</v>
      </c>
      <c r="P91" s="277">
        <f t="shared" si="98"/>
        <v>724</v>
      </c>
      <c r="Q91" s="277">
        <f t="shared" si="98"/>
        <v>724</v>
      </c>
      <c r="R91" s="277">
        <f t="shared" si="98"/>
        <v>93377.600000000006</v>
      </c>
      <c r="S91" s="277">
        <f t="shared" si="98"/>
        <v>83126</v>
      </c>
      <c r="T91" s="277">
        <f t="shared" si="98"/>
        <v>0</v>
      </c>
      <c r="U91" s="277">
        <f t="shared" si="98"/>
        <v>0</v>
      </c>
      <c r="V91" s="277">
        <f t="shared" si="98"/>
        <v>25671</v>
      </c>
      <c r="W91" s="277">
        <f t="shared" si="98"/>
        <v>724</v>
      </c>
      <c r="X91" s="277">
        <f t="shared" si="98"/>
        <v>724</v>
      </c>
      <c r="Y91" s="277">
        <f t="shared" si="98"/>
        <v>0</v>
      </c>
      <c r="Z91" s="277">
        <f t="shared" si="98"/>
        <v>0</v>
      </c>
      <c r="AA91" s="277">
        <f t="shared" si="98"/>
        <v>36450</v>
      </c>
      <c r="AB91" s="277">
        <f t="shared" si="98"/>
        <v>25450</v>
      </c>
      <c r="AC91" s="277">
        <f t="shared" si="98"/>
        <v>0</v>
      </c>
      <c r="AD91" s="277">
        <f t="shared" si="98"/>
        <v>0</v>
      </c>
      <c r="AE91" s="277">
        <f t="shared" si="98"/>
        <v>4724.1640000000007</v>
      </c>
      <c r="AF91" s="277">
        <f t="shared" si="98"/>
        <v>6794.1639999999989</v>
      </c>
      <c r="AG91" s="277">
        <f t="shared" si="98"/>
        <v>37174</v>
      </c>
      <c r="AH91" s="277">
        <f t="shared" si="98"/>
        <v>26174</v>
      </c>
      <c r="AI91" s="277"/>
      <c r="AJ91" s="277"/>
      <c r="AK91" s="277">
        <f t="shared" si="98"/>
        <v>18774</v>
      </c>
      <c r="AL91" s="277">
        <f t="shared" si="98"/>
        <v>18774</v>
      </c>
      <c r="AM91" s="277">
        <f t="shared" si="98"/>
        <v>0</v>
      </c>
      <c r="AN91" s="277">
        <f t="shared" si="98"/>
        <v>0</v>
      </c>
      <c r="AO91" s="277">
        <f t="shared" si="98"/>
        <v>18681</v>
      </c>
      <c r="AP91" s="277">
        <f t="shared" si="98"/>
        <v>18681</v>
      </c>
      <c r="AQ91" s="277">
        <f t="shared" si="98"/>
        <v>0</v>
      </c>
      <c r="AR91" s="277">
        <f t="shared" si="98"/>
        <v>0</v>
      </c>
      <c r="AS91" s="277">
        <f t="shared" si="98"/>
        <v>46352</v>
      </c>
      <c r="AT91" s="277">
        <f t="shared" si="98"/>
        <v>46855</v>
      </c>
      <c r="AU91" s="277">
        <f t="shared" si="98"/>
        <v>44855</v>
      </c>
      <c r="AV91" s="277">
        <f t="shared" si="98"/>
        <v>28001</v>
      </c>
      <c r="AW91" s="277">
        <f t="shared" si="98"/>
        <v>28001</v>
      </c>
      <c r="AX91" s="277">
        <f t="shared" si="98"/>
        <v>0</v>
      </c>
      <c r="AY91" s="277">
        <f t="shared" si="98"/>
        <v>0</v>
      </c>
      <c r="AZ91" s="272"/>
    </row>
    <row r="92" spans="1:53" s="533" customFormat="1" ht="38.25" customHeight="1">
      <c r="A92" s="275" t="s">
        <v>44</v>
      </c>
      <c r="B92" s="236" t="s">
        <v>45</v>
      </c>
      <c r="C92" s="255"/>
      <c r="D92" s="255"/>
      <c r="E92" s="255"/>
      <c r="F92" s="255"/>
      <c r="G92" s="255"/>
      <c r="H92" s="255"/>
      <c r="I92" s="256"/>
      <c r="J92" s="277">
        <f t="shared" ref="J92:AY92" si="99">SUM(J93:J99)</f>
        <v>100512</v>
      </c>
      <c r="K92" s="277">
        <f t="shared" si="99"/>
        <v>85212</v>
      </c>
      <c r="L92" s="277">
        <f t="shared" si="99"/>
        <v>0</v>
      </c>
      <c r="M92" s="277">
        <f t="shared" si="99"/>
        <v>0</v>
      </c>
      <c r="N92" s="277">
        <f t="shared" si="99"/>
        <v>0</v>
      </c>
      <c r="O92" s="277">
        <f t="shared" si="99"/>
        <v>0</v>
      </c>
      <c r="P92" s="277">
        <f t="shared" si="99"/>
        <v>724</v>
      </c>
      <c r="Q92" s="277">
        <f t="shared" si="99"/>
        <v>724</v>
      </c>
      <c r="R92" s="277">
        <f t="shared" si="99"/>
        <v>93377.600000000006</v>
      </c>
      <c r="S92" s="277">
        <f t="shared" si="99"/>
        <v>83126</v>
      </c>
      <c r="T92" s="277">
        <f t="shared" si="99"/>
        <v>0</v>
      </c>
      <c r="U92" s="277">
        <f t="shared" si="99"/>
        <v>0</v>
      </c>
      <c r="V92" s="277">
        <f t="shared" si="99"/>
        <v>25671</v>
      </c>
      <c r="W92" s="277">
        <f t="shared" si="99"/>
        <v>724</v>
      </c>
      <c r="X92" s="277">
        <f t="shared" si="99"/>
        <v>724</v>
      </c>
      <c r="Y92" s="277">
        <f t="shared" si="99"/>
        <v>0</v>
      </c>
      <c r="Z92" s="277">
        <f t="shared" si="99"/>
        <v>0</v>
      </c>
      <c r="AA92" s="277">
        <f t="shared" si="99"/>
        <v>36450</v>
      </c>
      <c r="AB92" s="277">
        <f t="shared" si="99"/>
        <v>25450</v>
      </c>
      <c r="AC92" s="277">
        <f t="shared" si="99"/>
        <v>0</v>
      </c>
      <c r="AD92" s="277">
        <f t="shared" si="99"/>
        <v>0</v>
      </c>
      <c r="AE92" s="277">
        <f t="shared" si="99"/>
        <v>4724.1640000000007</v>
      </c>
      <c r="AF92" s="277">
        <f t="shared" si="99"/>
        <v>6794.1639999999989</v>
      </c>
      <c r="AG92" s="277">
        <f t="shared" si="99"/>
        <v>37174</v>
      </c>
      <c r="AH92" s="277">
        <f t="shared" si="99"/>
        <v>26174</v>
      </c>
      <c r="AI92" s="277">
        <f t="shared" si="99"/>
        <v>0</v>
      </c>
      <c r="AJ92" s="277">
        <f t="shared" si="99"/>
        <v>0</v>
      </c>
      <c r="AK92" s="277">
        <f t="shared" si="99"/>
        <v>18774</v>
      </c>
      <c r="AL92" s="277">
        <f t="shared" si="99"/>
        <v>18774</v>
      </c>
      <c r="AM92" s="277">
        <f t="shared" si="99"/>
        <v>0</v>
      </c>
      <c r="AN92" s="277">
        <f t="shared" si="99"/>
        <v>0</v>
      </c>
      <c r="AO92" s="277">
        <f t="shared" si="99"/>
        <v>18681</v>
      </c>
      <c r="AP92" s="277">
        <f t="shared" si="99"/>
        <v>18681</v>
      </c>
      <c r="AQ92" s="277">
        <f t="shared" si="99"/>
        <v>0</v>
      </c>
      <c r="AR92" s="277">
        <f t="shared" si="99"/>
        <v>0</v>
      </c>
      <c r="AS92" s="277">
        <f t="shared" si="99"/>
        <v>46352</v>
      </c>
      <c r="AT92" s="277">
        <f t="shared" si="99"/>
        <v>46855</v>
      </c>
      <c r="AU92" s="277">
        <f t="shared" si="99"/>
        <v>44855</v>
      </c>
      <c r="AV92" s="277">
        <f t="shared" si="99"/>
        <v>28001</v>
      </c>
      <c r="AW92" s="277">
        <f t="shared" si="99"/>
        <v>28001</v>
      </c>
      <c r="AX92" s="277">
        <f t="shared" si="99"/>
        <v>0</v>
      </c>
      <c r="AY92" s="277">
        <f t="shared" si="99"/>
        <v>0</v>
      </c>
      <c r="AZ92" s="272"/>
    </row>
    <row r="93" spans="1:53" s="270" customFormat="1" ht="58.5" customHeight="1">
      <c r="A93" s="209">
        <v>1</v>
      </c>
      <c r="B93" s="267" t="s">
        <v>357</v>
      </c>
      <c r="C93" s="243" t="s">
        <v>350</v>
      </c>
      <c r="D93" s="243"/>
      <c r="E93" s="243" t="s">
        <v>811</v>
      </c>
      <c r="F93" s="243"/>
      <c r="G93" s="243"/>
      <c r="H93" s="243"/>
      <c r="I93" s="248" t="s">
        <v>893</v>
      </c>
      <c r="J93" s="212">
        <f>K93</f>
        <v>32000</v>
      </c>
      <c r="K93" s="212">
        <v>32000</v>
      </c>
      <c r="L93" s="212"/>
      <c r="M93" s="212"/>
      <c r="N93" s="212"/>
      <c r="O93" s="212"/>
      <c r="P93" s="212">
        <f t="shared" ref="P93:Q99" si="100">L93+W93</f>
        <v>416</v>
      </c>
      <c r="Q93" s="212">
        <f t="shared" si="100"/>
        <v>416</v>
      </c>
      <c r="R93" s="212">
        <f>S93</f>
        <v>28800</v>
      </c>
      <c r="S93" s="212">
        <v>28800</v>
      </c>
      <c r="T93" s="212"/>
      <c r="U93" s="212">
        <v>0</v>
      </c>
      <c r="V93" s="212">
        <v>9000</v>
      </c>
      <c r="W93" s="212">
        <v>416</v>
      </c>
      <c r="X93" s="212">
        <v>416</v>
      </c>
      <c r="Y93" s="212"/>
      <c r="Z93" s="212"/>
      <c r="AA93" s="212">
        <v>9000</v>
      </c>
      <c r="AB93" s="212">
        <v>9000</v>
      </c>
      <c r="AC93" s="212"/>
      <c r="AD93" s="212"/>
      <c r="AE93" s="212"/>
      <c r="AF93" s="212"/>
      <c r="AG93" s="212">
        <f t="shared" si="90"/>
        <v>9416</v>
      </c>
      <c r="AH93" s="212">
        <f t="shared" si="91"/>
        <v>9416</v>
      </c>
      <c r="AI93" s="212"/>
      <c r="AJ93" s="212"/>
      <c r="AK93" s="212">
        <f t="shared" si="92"/>
        <v>0</v>
      </c>
      <c r="AL93" s="212">
        <f t="shared" si="93"/>
        <v>0</v>
      </c>
      <c r="AM93" s="212">
        <f t="shared" si="94"/>
        <v>0</v>
      </c>
      <c r="AN93" s="212">
        <f t="shared" si="95"/>
        <v>0</v>
      </c>
      <c r="AO93" s="212"/>
      <c r="AP93" s="212"/>
      <c r="AQ93" s="212"/>
      <c r="AR93" s="212"/>
      <c r="AS93" s="212">
        <f t="shared" ref="AS93" si="101">V93+AP93</f>
        <v>9000</v>
      </c>
      <c r="AT93" s="212">
        <f t="shared" ref="AT93:AT99" si="102">AU93</f>
        <v>9416</v>
      </c>
      <c r="AU93" s="212">
        <f t="shared" ref="AU93" si="103">AH93+AP93</f>
        <v>9416</v>
      </c>
      <c r="AV93" s="212">
        <f t="shared" ref="AV93:AV99" si="104">AW93</f>
        <v>11880</v>
      </c>
      <c r="AW93" s="212">
        <f>10700+1180</f>
        <v>11880</v>
      </c>
      <c r="AX93" s="212"/>
      <c r="AY93" s="212"/>
      <c r="AZ93" s="649" t="s">
        <v>933</v>
      </c>
      <c r="BA93" s="279"/>
    </row>
    <row r="94" spans="1:53" s="270" customFormat="1" ht="46.5" customHeight="1">
      <c r="A94" s="209">
        <v>2</v>
      </c>
      <c r="B94" s="288" t="s">
        <v>358</v>
      </c>
      <c r="C94" s="243" t="s">
        <v>350</v>
      </c>
      <c r="D94" s="243"/>
      <c r="E94" s="243" t="s">
        <v>811</v>
      </c>
      <c r="F94" s="243"/>
      <c r="G94" s="243" t="s">
        <v>359</v>
      </c>
      <c r="H94" s="243" t="s">
        <v>676</v>
      </c>
      <c r="I94" s="248" t="s">
        <v>360</v>
      </c>
      <c r="J94" s="212">
        <f>K94</f>
        <v>7914</v>
      </c>
      <c r="K94" s="212">
        <v>7914</v>
      </c>
      <c r="L94" s="212"/>
      <c r="M94" s="212"/>
      <c r="N94" s="212"/>
      <c r="O94" s="212"/>
      <c r="P94" s="212">
        <f t="shared" si="100"/>
        <v>104</v>
      </c>
      <c r="Q94" s="212">
        <f t="shared" si="100"/>
        <v>104</v>
      </c>
      <c r="R94" s="212">
        <f>S94</f>
        <v>7928</v>
      </c>
      <c r="S94" s="212">
        <v>7928</v>
      </c>
      <c r="T94" s="212"/>
      <c r="U94" s="212">
        <v>0</v>
      </c>
      <c r="V94" s="212">
        <f>104+2200</f>
        <v>2304</v>
      </c>
      <c r="W94" s="212">
        <v>104</v>
      </c>
      <c r="X94" s="212">
        <v>104</v>
      </c>
      <c r="Y94" s="212"/>
      <c r="Z94" s="212"/>
      <c r="AA94" s="212">
        <v>2200</v>
      </c>
      <c r="AB94" s="212">
        <v>2200</v>
      </c>
      <c r="AC94" s="212"/>
      <c r="AD94" s="212"/>
      <c r="AE94" s="273">
        <v>308.03300000000002</v>
      </c>
      <c r="AF94" s="273">
        <v>308.03300000000002</v>
      </c>
      <c r="AG94" s="212">
        <f t="shared" si="90"/>
        <v>2304</v>
      </c>
      <c r="AH94" s="212">
        <f t="shared" si="91"/>
        <v>2304</v>
      </c>
      <c r="AI94" s="212"/>
      <c r="AJ94" s="212"/>
      <c r="AK94" s="212">
        <f>AO94</f>
        <v>2500</v>
      </c>
      <c r="AL94" s="212">
        <f t="shared" si="93"/>
        <v>2500</v>
      </c>
      <c r="AM94" s="212">
        <f t="shared" si="94"/>
        <v>0</v>
      </c>
      <c r="AN94" s="212">
        <f t="shared" si="95"/>
        <v>0</v>
      </c>
      <c r="AO94" s="212">
        <f>AP94</f>
        <v>2500</v>
      </c>
      <c r="AP94" s="212">
        <v>2500</v>
      </c>
      <c r="AQ94" s="212"/>
      <c r="AR94" s="212"/>
      <c r="AS94" s="212">
        <f t="shared" ref="AS94:AS99" si="105">V94+AP94</f>
        <v>4804</v>
      </c>
      <c r="AT94" s="212">
        <f t="shared" si="102"/>
        <v>4804</v>
      </c>
      <c r="AU94" s="212">
        <f t="shared" ref="AU94:AU99" si="106">AH94+AP94</f>
        <v>4804</v>
      </c>
      <c r="AV94" s="212">
        <f t="shared" si="104"/>
        <v>3100</v>
      </c>
      <c r="AW94" s="212">
        <v>3100</v>
      </c>
      <c r="AX94" s="212"/>
      <c r="AY94" s="212"/>
      <c r="AZ94" s="527" t="s">
        <v>783</v>
      </c>
      <c r="BA94" s="279"/>
    </row>
    <row r="95" spans="1:53" s="270" customFormat="1" ht="48.95" hidden="1" customHeight="1">
      <c r="A95" s="209">
        <v>3</v>
      </c>
      <c r="B95" s="288" t="s">
        <v>361</v>
      </c>
      <c r="C95" s="243" t="s">
        <v>350</v>
      </c>
      <c r="D95" s="243"/>
      <c r="E95" s="243" t="s">
        <v>811</v>
      </c>
      <c r="F95" s="243"/>
      <c r="G95" s="272"/>
      <c r="H95" s="243" t="s">
        <v>781</v>
      </c>
      <c r="I95" s="248" t="s">
        <v>362</v>
      </c>
      <c r="J95" s="212">
        <v>9000</v>
      </c>
      <c r="K95" s="212">
        <v>9000</v>
      </c>
      <c r="L95" s="212"/>
      <c r="M95" s="212"/>
      <c r="N95" s="212"/>
      <c r="O95" s="212"/>
      <c r="P95" s="212">
        <f t="shared" si="100"/>
        <v>117</v>
      </c>
      <c r="Q95" s="212">
        <f t="shared" si="100"/>
        <v>117</v>
      </c>
      <c r="R95" s="212">
        <f>S95</f>
        <v>9000</v>
      </c>
      <c r="S95" s="212">
        <v>9000</v>
      </c>
      <c r="T95" s="212"/>
      <c r="U95" s="212">
        <v>0</v>
      </c>
      <c r="V95" s="212">
        <f>X95+AB95</f>
        <v>4117</v>
      </c>
      <c r="W95" s="212">
        <v>117</v>
      </c>
      <c r="X95" s="212">
        <v>117</v>
      </c>
      <c r="Y95" s="212"/>
      <c r="Z95" s="212"/>
      <c r="AA95" s="212">
        <f>AB95</f>
        <v>4000</v>
      </c>
      <c r="AB95" s="212">
        <v>4000</v>
      </c>
      <c r="AC95" s="212"/>
      <c r="AD95" s="212"/>
      <c r="AE95" s="273">
        <v>458.68700000000001</v>
      </c>
      <c r="AF95" s="273">
        <v>2458.6869999999999</v>
      </c>
      <c r="AG95" s="212">
        <f t="shared" si="90"/>
        <v>4117</v>
      </c>
      <c r="AH95" s="212">
        <f>X95+AB95</f>
        <v>4117</v>
      </c>
      <c r="AI95" s="212"/>
      <c r="AJ95" s="212"/>
      <c r="AK95" s="212">
        <f>AL95</f>
        <v>4500</v>
      </c>
      <c r="AL95" s="212">
        <f>AO95</f>
        <v>4500</v>
      </c>
      <c r="AM95" s="212">
        <f t="shared" si="94"/>
        <v>0</v>
      </c>
      <c r="AN95" s="212">
        <f t="shared" si="95"/>
        <v>0</v>
      </c>
      <c r="AO95" s="212">
        <f>AP95</f>
        <v>4500</v>
      </c>
      <c r="AP95" s="212">
        <v>4500</v>
      </c>
      <c r="AQ95" s="212"/>
      <c r="AR95" s="212"/>
      <c r="AS95" s="212">
        <f>V95+AP95</f>
        <v>8617</v>
      </c>
      <c r="AT95" s="212">
        <f t="shared" si="102"/>
        <v>8617</v>
      </c>
      <c r="AU95" s="212">
        <f t="shared" si="106"/>
        <v>8617</v>
      </c>
      <c r="AV95" s="212">
        <f t="shared" si="104"/>
        <v>0</v>
      </c>
      <c r="AW95" s="212"/>
      <c r="AX95" s="212"/>
      <c r="AY95" s="212"/>
      <c r="AZ95" s="527" t="s">
        <v>783</v>
      </c>
      <c r="BA95" s="279"/>
    </row>
    <row r="96" spans="1:53" s="270" customFormat="1" ht="42.6" hidden="1" customHeight="1">
      <c r="A96" s="209">
        <v>4</v>
      </c>
      <c r="B96" s="267" t="s">
        <v>363</v>
      </c>
      <c r="C96" s="243" t="s">
        <v>350</v>
      </c>
      <c r="D96" s="243"/>
      <c r="E96" s="243" t="s">
        <v>811</v>
      </c>
      <c r="F96" s="243"/>
      <c r="G96" s="272"/>
      <c r="H96" s="490" t="s">
        <v>567</v>
      </c>
      <c r="I96" s="248" t="s">
        <v>364</v>
      </c>
      <c r="J96" s="212">
        <v>4630</v>
      </c>
      <c r="K96" s="212">
        <v>4630</v>
      </c>
      <c r="L96" s="212"/>
      <c r="M96" s="212"/>
      <c r="N96" s="212"/>
      <c r="O96" s="212"/>
      <c r="P96" s="212">
        <f t="shared" si="100"/>
        <v>87</v>
      </c>
      <c r="Q96" s="212">
        <f t="shared" si="100"/>
        <v>87</v>
      </c>
      <c r="R96" s="212">
        <f>S96</f>
        <v>4630</v>
      </c>
      <c r="S96" s="212">
        <v>4630</v>
      </c>
      <c r="T96" s="212"/>
      <c r="U96" s="212">
        <v>0</v>
      </c>
      <c r="V96" s="212">
        <v>1250</v>
      </c>
      <c r="W96" s="212">
        <v>87</v>
      </c>
      <c r="X96" s="212">
        <v>87</v>
      </c>
      <c r="Y96" s="212"/>
      <c r="Z96" s="212"/>
      <c r="AA96" s="212">
        <v>1250</v>
      </c>
      <c r="AB96" s="212">
        <v>1250</v>
      </c>
      <c r="AC96" s="212"/>
      <c r="AD96" s="212"/>
      <c r="AE96" s="273">
        <v>154.08000000000001</v>
      </c>
      <c r="AF96" s="273">
        <v>154.08000000000001</v>
      </c>
      <c r="AG96" s="212">
        <f t="shared" si="90"/>
        <v>1337</v>
      </c>
      <c r="AH96" s="212">
        <f t="shared" si="91"/>
        <v>1337</v>
      </c>
      <c r="AI96" s="212"/>
      <c r="AJ96" s="212"/>
      <c r="AK96" s="212">
        <f>AL96</f>
        <v>3293</v>
      </c>
      <c r="AL96" s="212">
        <f>S96-AH96</f>
        <v>3293</v>
      </c>
      <c r="AM96" s="212">
        <f t="shared" si="94"/>
        <v>0</v>
      </c>
      <c r="AN96" s="212">
        <f t="shared" si="95"/>
        <v>0</v>
      </c>
      <c r="AO96" s="212">
        <f t="shared" ref="AO96:AO98" si="107">AP96</f>
        <v>3200</v>
      </c>
      <c r="AP96" s="212">
        <v>3200</v>
      </c>
      <c r="AQ96" s="212"/>
      <c r="AR96" s="212"/>
      <c r="AS96" s="212">
        <f t="shared" si="105"/>
        <v>4450</v>
      </c>
      <c r="AT96" s="212">
        <f t="shared" si="102"/>
        <v>4537</v>
      </c>
      <c r="AU96" s="212">
        <f t="shared" si="106"/>
        <v>4537</v>
      </c>
      <c r="AV96" s="212">
        <f t="shared" si="104"/>
        <v>0</v>
      </c>
      <c r="AW96" s="212"/>
      <c r="AX96" s="212"/>
      <c r="AY96" s="212"/>
      <c r="AZ96" s="649" t="s">
        <v>783</v>
      </c>
      <c r="BA96" s="279"/>
    </row>
    <row r="97" spans="1:53" s="262" customFormat="1" ht="43.5" customHeight="1">
      <c r="A97" s="209">
        <v>5</v>
      </c>
      <c r="B97" s="267" t="s">
        <v>365</v>
      </c>
      <c r="C97" s="243" t="s">
        <v>350</v>
      </c>
      <c r="D97" s="243"/>
      <c r="E97" s="243" t="s">
        <v>811</v>
      </c>
      <c r="F97" s="243"/>
      <c r="G97" s="243"/>
      <c r="H97" s="243" t="s">
        <v>676</v>
      </c>
      <c r="I97" s="248" t="s">
        <v>667</v>
      </c>
      <c r="J97" s="212">
        <v>25000</v>
      </c>
      <c r="K97" s="212">
        <v>22000</v>
      </c>
      <c r="L97" s="212"/>
      <c r="M97" s="212"/>
      <c r="N97" s="212"/>
      <c r="O97" s="212"/>
      <c r="P97" s="212">
        <f t="shared" si="100"/>
        <v>0</v>
      </c>
      <c r="Q97" s="212">
        <f t="shared" si="100"/>
        <v>0</v>
      </c>
      <c r="R97" s="212">
        <v>22500</v>
      </c>
      <c r="S97" s="212">
        <v>19800</v>
      </c>
      <c r="T97" s="212"/>
      <c r="U97" s="212">
        <v>0</v>
      </c>
      <c r="V97" s="212">
        <v>5000</v>
      </c>
      <c r="W97" s="212"/>
      <c r="X97" s="212"/>
      <c r="Y97" s="212"/>
      <c r="Z97" s="212"/>
      <c r="AA97" s="212">
        <v>7000</v>
      </c>
      <c r="AB97" s="212">
        <v>5000</v>
      </c>
      <c r="AC97" s="212"/>
      <c r="AD97" s="212"/>
      <c r="AE97" s="212">
        <v>1391</v>
      </c>
      <c r="AF97" s="212">
        <v>1461</v>
      </c>
      <c r="AG97" s="212">
        <f t="shared" si="90"/>
        <v>7000</v>
      </c>
      <c r="AH97" s="212">
        <f t="shared" si="91"/>
        <v>5000</v>
      </c>
      <c r="AI97" s="212"/>
      <c r="AJ97" s="212"/>
      <c r="AK97" s="212">
        <f t="shared" si="92"/>
        <v>4297</v>
      </c>
      <c r="AL97" s="212">
        <f t="shared" si="93"/>
        <v>4297</v>
      </c>
      <c r="AM97" s="212">
        <f t="shared" si="94"/>
        <v>0</v>
      </c>
      <c r="AN97" s="212">
        <f t="shared" si="95"/>
        <v>0</v>
      </c>
      <c r="AO97" s="212">
        <f>AP97</f>
        <v>4297</v>
      </c>
      <c r="AP97" s="212">
        <v>4297</v>
      </c>
      <c r="AQ97" s="212"/>
      <c r="AR97" s="212"/>
      <c r="AS97" s="212">
        <f>AT97</f>
        <v>11297</v>
      </c>
      <c r="AT97" s="212">
        <f>AG97+AO97</f>
        <v>11297</v>
      </c>
      <c r="AU97" s="212">
        <f>AH97+AP97</f>
        <v>9297</v>
      </c>
      <c r="AV97" s="212">
        <f t="shared" si="104"/>
        <v>8237</v>
      </c>
      <c r="AW97" s="212">
        <v>8237</v>
      </c>
      <c r="AX97" s="212"/>
      <c r="AY97" s="212"/>
      <c r="AZ97" s="299" t="s">
        <v>666</v>
      </c>
      <c r="BA97" s="201"/>
    </row>
    <row r="98" spans="1:53" s="262" customFormat="1" ht="44.25" customHeight="1">
      <c r="A98" s="209">
        <v>6</v>
      </c>
      <c r="B98" s="267" t="s">
        <v>366</v>
      </c>
      <c r="C98" s="243" t="s">
        <v>350</v>
      </c>
      <c r="D98" s="243"/>
      <c r="E98" s="243" t="s">
        <v>811</v>
      </c>
      <c r="F98" s="243"/>
      <c r="G98" s="243"/>
      <c r="H98" s="243" t="s">
        <v>367</v>
      </c>
      <c r="I98" s="248" t="s">
        <v>368</v>
      </c>
      <c r="J98" s="212">
        <v>7484</v>
      </c>
      <c r="K98" s="212">
        <v>4184</v>
      </c>
      <c r="L98" s="212"/>
      <c r="M98" s="212"/>
      <c r="N98" s="212"/>
      <c r="O98" s="212"/>
      <c r="P98" s="212">
        <f t="shared" si="100"/>
        <v>0</v>
      </c>
      <c r="Q98" s="212">
        <f t="shared" si="100"/>
        <v>0</v>
      </c>
      <c r="R98" s="212">
        <v>7484</v>
      </c>
      <c r="S98" s="212">
        <v>7484</v>
      </c>
      <c r="T98" s="212"/>
      <c r="U98" s="212">
        <v>0</v>
      </c>
      <c r="V98" s="212">
        <v>2000</v>
      </c>
      <c r="W98" s="212"/>
      <c r="X98" s="212"/>
      <c r="Y98" s="212"/>
      <c r="Z98" s="212"/>
      <c r="AA98" s="273">
        <v>2000</v>
      </c>
      <c r="AB98" s="273">
        <v>2000</v>
      </c>
      <c r="AC98" s="212"/>
      <c r="AD98" s="212"/>
      <c r="AE98" s="566">
        <v>412.36399999999998</v>
      </c>
      <c r="AF98" s="566">
        <v>412.36399999999998</v>
      </c>
      <c r="AG98" s="212">
        <f t="shared" si="90"/>
        <v>2000</v>
      </c>
      <c r="AH98" s="212">
        <f t="shared" si="91"/>
        <v>2000</v>
      </c>
      <c r="AI98" s="212"/>
      <c r="AJ98" s="212"/>
      <c r="AK98" s="212">
        <f>AL98</f>
        <v>2184</v>
      </c>
      <c r="AL98" s="212">
        <v>2184</v>
      </c>
      <c r="AM98" s="212">
        <f t="shared" si="94"/>
        <v>0</v>
      </c>
      <c r="AN98" s="212">
        <f t="shared" si="95"/>
        <v>0</v>
      </c>
      <c r="AO98" s="212">
        <f t="shared" si="107"/>
        <v>2184</v>
      </c>
      <c r="AP98" s="212">
        <v>2184</v>
      </c>
      <c r="AQ98" s="212"/>
      <c r="AR98" s="212"/>
      <c r="AS98" s="212">
        <f t="shared" si="105"/>
        <v>4184</v>
      </c>
      <c r="AT98" s="212">
        <f t="shared" si="102"/>
        <v>4184</v>
      </c>
      <c r="AU98" s="212">
        <f t="shared" si="106"/>
        <v>4184</v>
      </c>
      <c r="AV98" s="212">
        <f t="shared" si="104"/>
        <v>3300</v>
      </c>
      <c r="AW98" s="212">
        <f t="shared" ref="AW98:AW99" si="108">S98-AU98</f>
        <v>3300</v>
      </c>
      <c r="AX98" s="212"/>
      <c r="AY98" s="212"/>
      <c r="AZ98" s="649" t="s">
        <v>783</v>
      </c>
      <c r="BA98" s="201"/>
    </row>
    <row r="99" spans="1:53" s="262" customFormat="1" ht="43.5" customHeight="1">
      <c r="A99" s="209">
        <v>7</v>
      </c>
      <c r="B99" s="290" t="s">
        <v>369</v>
      </c>
      <c r="C99" s="243"/>
      <c r="D99" s="243"/>
      <c r="E99" s="243" t="s">
        <v>812</v>
      </c>
      <c r="F99" s="243"/>
      <c r="G99" s="243"/>
      <c r="H99" s="243" t="s">
        <v>567</v>
      </c>
      <c r="I99" s="248" t="s">
        <v>370</v>
      </c>
      <c r="J99" s="212">
        <v>14484</v>
      </c>
      <c r="K99" s="212">
        <v>5484</v>
      </c>
      <c r="L99" s="212"/>
      <c r="M99" s="212"/>
      <c r="N99" s="212"/>
      <c r="O99" s="212"/>
      <c r="P99" s="212">
        <f t="shared" si="100"/>
        <v>0</v>
      </c>
      <c r="Q99" s="212">
        <f t="shared" si="100"/>
        <v>0</v>
      </c>
      <c r="R99" s="212">
        <v>13035.6</v>
      </c>
      <c r="S99" s="212">
        <v>5484</v>
      </c>
      <c r="T99" s="212"/>
      <c r="U99" s="212">
        <v>0</v>
      </c>
      <c r="V99" s="212">
        <v>2000</v>
      </c>
      <c r="W99" s="212"/>
      <c r="X99" s="212"/>
      <c r="Y99" s="212"/>
      <c r="Z99" s="212"/>
      <c r="AA99" s="273">
        <v>11000</v>
      </c>
      <c r="AB99" s="273">
        <v>2000</v>
      </c>
      <c r="AC99" s="212"/>
      <c r="AD99" s="212"/>
      <c r="AE99" s="212">
        <v>2000</v>
      </c>
      <c r="AF99" s="212">
        <v>2000</v>
      </c>
      <c r="AG99" s="212">
        <f t="shared" si="90"/>
        <v>11000</v>
      </c>
      <c r="AH99" s="212">
        <f t="shared" si="91"/>
        <v>2000</v>
      </c>
      <c r="AI99" s="212"/>
      <c r="AJ99" s="212"/>
      <c r="AK99" s="212">
        <f>AL99</f>
        <v>2000</v>
      </c>
      <c r="AL99" s="212">
        <f>AP99</f>
        <v>2000</v>
      </c>
      <c r="AM99" s="212">
        <f t="shared" si="94"/>
        <v>0</v>
      </c>
      <c r="AN99" s="212">
        <f t="shared" si="95"/>
        <v>0</v>
      </c>
      <c r="AO99" s="212">
        <f>AP99</f>
        <v>2000</v>
      </c>
      <c r="AP99" s="212">
        <v>2000</v>
      </c>
      <c r="AQ99" s="212"/>
      <c r="AR99" s="212"/>
      <c r="AS99" s="212">
        <f t="shared" si="105"/>
        <v>4000</v>
      </c>
      <c r="AT99" s="212">
        <f t="shared" si="102"/>
        <v>4000</v>
      </c>
      <c r="AU99" s="212">
        <f t="shared" si="106"/>
        <v>4000</v>
      </c>
      <c r="AV99" s="212">
        <f t="shared" si="104"/>
        <v>1484</v>
      </c>
      <c r="AW99" s="212">
        <f t="shared" si="108"/>
        <v>1484</v>
      </c>
      <c r="AX99" s="212"/>
      <c r="AY99" s="212"/>
      <c r="AZ99" s="261" t="s">
        <v>371</v>
      </c>
      <c r="BA99" s="201"/>
    </row>
    <row r="100" spans="1:53" s="251" customFormat="1" ht="30.95" customHeight="1">
      <c r="A100" s="213" t="s">
        <v>278</v>
      </c>
      <c r="B100" s="280" t="s">
        <v>895</v>
      </c>
      <c r="C100" s="229"/>
      <c r="D100" s="229"/>
      <c r="E100" s="229"/>
      <c r="F100" s="229"/>
      <c r="G100" s="229"/>
      <c r="H100" s="229"/>
      <c r="I100" s="231"/>
      <c r="J100" s="242">
        <f>J101</f>
        <v>57900</v>
      </c>
      <c r="K100" s="242">
        <f t="shared" ref="K100:AY100" si="109">K101</f>
        <v>57900</v>
      </c>
      <c r="L100" s="242">
        <f t="shared" si="109"/>
        <v>0</v>
      </c>
      <c r="M100" s="242">
        <f t="shared" si="109"/>
        <v>0</v>
      </c>
      <c r="N100" s="242">
        <f t="shared" si="109"/>
        <v>0</v>
      </c>
      <c r="O100" s="242">
        <f t="shared" si="109"/>
        <v>0</v>
      </c>
      <c r="P100" s="242">
        <f t="shared" si="109"/>
        <v>280</v>
      </c>
      <c r="Q100" s="242">
        <f t="shared" si="109"/>
        <v>280</v>
      </c>
      <c r="R100" s="242">
        <f t="shared" si="109"/>
        <v>55400</v>
      </c>
      <c r="S100" s="242">
        <f t="shared" si="109"/>
        <v>47088</v>
      </c>
      <c r="T100" s="242">
        <f t="shared" si="109"/>
        <v>0</v>
      </c>
      <c r="U100" s="242">
        <f t="shared" si="109"/>
        <v>0</v>
      </c>
      <c r="V100" s="242">
        <f t="shared" si="109"/>
        <v>0</v>
      </c>
      <c r="W100" s="242">
        <f t="shared" si="109"/>
        <v>280</v>
      </c>
      <c r="X100" s="242">
        <f t="shared" si="109"/>
        <v>280</v>
      </c>
      <c r="Y100" s="242">
        <f t="shared" si="109"/>
        <v>0</v>
      </c>
      <c r="Z100" s="242">
        <f t="shared" si="109"/>
        <v>0</v>
      </c>
      <c r="AA100" s="242">
        <f t="shared" si="109"/>
        <v>120</v>
      </c>
      <c r="AB100" s="242">
        <f t="shared" si="109"/>
        <v>120</v>
      </c>
      <c r="AC100" s="242">
        <f t="shared" si="109"/>
        <v>0</v>
      </c>
      <c r="AD100" s="242">
        <f t="shared" si="109"/>
        <v>0</v>
      </c>
      <c r="AE100" s="242">
        <f t="shared" si="109"/>
        <v>0</v>
      </c>
      <c r="AF100" s="242">
        <f t="shared" si="109"/>
        <v>0</v>
      </c>
      <c r="AG100" s="242">
        <f t="shared" si="109"/>
        <v>6532</v>
      </c>
      <c r="AH100" s="242">
        <f t="shared" si="109"/>
        <v>400</v>
      </c>
      <c r="AI100" s="242"/>
      <c r="AJ100" s="242"/>
      <c r="AK100" s="242">
        <f t="shared" si="109"/>
        <v>17000</v>
      </c>
      <c r="AL100" s="242">
        <f t="shared" si="109"/>
        <v>17000</v>
      </c>
      <c r="AM100" s="242">
        <f t="shared" si="109"/>
        <v>0</v>
      </c>
      <c r="AN100" s="242">
        <f t="shared" si="109"/>
        <v>0</v>
      </c>
      <c r="AO100" s="242">
        <f t="shared" si="109"/>
        <v>16500</v>
      </c>
      <c r="AP100" s="242">
        <f t="shared" si="109"/>
        <v>16500</v>
      </c>
      <c r="AQ100" s="242">
        <f t="shared" si="109"/>
        <v>0</v>
      </c>
      <c r="AR100" s="242">
        <f t="shared" si="109"/>
        <v>0</v>
      </c>
      <c r="AS100" s="242">
        <f t="shared" si="109"/>
        <v>16500</v>
      </c>
      <c r="AT100" s="242">
        <f t="shared" si="109"/>
        <v>16900</v>
      </c>
      <c r="AU100" s="242">
        <f t="shared" si="109"/>
        <v>16900</v>
      </c>
      <c r="AV100" s="242">
        <f t="shared" si="109"/>
        <v>26612</v>
      </c>
      <c r="AW100" s="242">
        <f t="shared" si="109"/>
        <v>26612</v>
      </c>
      <c r="AX100" s="242">
        <f t="shared" si="109"/>
        <v>0</v>
      </c>
      <c r="AY100" s="242">
        <f t="shared" si="109"/>
        <v>0</v>
      </c>
      <c r="AZ100" s="265"/>
      <c r="BA100" s="232"/>
    </row>
    <row r="101" spans="1:53" s="533" customFormat="1" ht="30.95" customHeight="1">
      <c r="A101" s="275" t="s">
        <v>35</v>
      </c>
      <c r="B101" s="236" t="s">
        <v>45</v>
      </c>
      <c r="C101" s="255"/>
      <c r="D101" s="255"/>
      <c r="E101" s="255"/>
      <c r="F101" s="255"/>
      <c r="G101" s="255"/>
      <c r="H101" s="255"/>
      <c r="I101" s="256"/>
      <c r="J101" s="300">
        <f>SUM(J102:J106)</f>
        <v>57900</v>
      </c>
      <c r="K101" s="300">
        <f t="shared" ref="K101:AR101" si="110">SUM(K102:K106)</f>
        <v>57900</v>
      </c>
      <c r="L101" s="300">
        <f t="shared" si="110"/>
        <v>0</v>
      </c>
      <c r="M101" s="300">
        <f t="shared" si="110"/>
        <v>0</v>
      </c>
      <c r="N101" s="300">
        <f t="shared" si="110"/>
        <v>0</v>
      </c>
      <c r="O101" s="300">
        <f t="shared" si="110"/>
        <v>0</v>
      </c>
      <c r="P101" s="300">
        <f t="shared" si="110"/>
        <v>280</v>
      </c>
      <c r="Q101" s="300">
        <f t="shared" si="110"/>
        <v>280</v>
      </c>
      <c r="R101" s="300">
        <f t="shared" si="110"/>
        <v>55400</v>
      </c>
      <c r="S101" s="300">
        <f t="shared" si="110"/>
        <v>47088</v>
      </c>
      <c r="T101" s="300">
        <f t="shared" si="110"/>
        <v>0</v>
      </c>
      <c r="U101" s="300">
        <f t="shared" si="110"/>
        <v>0</v>
      </c>
      <c r="V101" s="300">
        <f t="shared" si="110"/>
        <v>0</v>
      </c>
      <c r="W101" s="300">
        <f t="shared" si="110"/>
        <v>280</v>
      </c>
      <c r="X101" s="300">
        <f t="shared" si="110"/>
        <v>280</v>
      </c>
      <c r="Y101" s="300">
        <f t="shared" si="110"/>
        <v>0</v>
      </c>
      <c r="Z101" s="300">
        <f t="shared" si="110"/>
        <v>0</v>
      </c>
      <c r="AA101" s="300">
        <f t="shared" si="110"/>
        <v>120</v>
      </c>
      <c r="AB101" s="300">
        <f t="shared" si="110"/>
        <v>120</v>
      </c>
      <c r="AC101" s="300">
        <f t="shared" si="110"/>
        <v>0</v>
      </c>
      <c r="AD101" s="300">
        <f t="shared" si="110"/>
        <v>0</v>
      </c>
      <c r="AE101" s="300">
        <f t="shared" si="110"/>
        <v>0</v>
      </c>
      <c r="AF101" s="300">
        <f t="shared" si="110"/>
        <v>0</v>
      </c>
      <c r="AG101" s="300">
        <f t="shared" si="110"/>
        <v>6532</v>
      </c>
      <c r="AH101" s="300">
        <f t="shared" si="110"/>
        <v>400</v>
      </c>
      <c r="AI101" s="300">
        <f t="shared" si="110"/>
        <v>0</v>
      </c>
      <c r="AJ101" s="300">
        <f t="shared" si="110"/>
        <v>0</v>
      </c>
      <c r="AK101" s="300">
        <f t="shared" si="110"/>
        <v>17000</v>
      </c>
      <c r="AL101" s="300">
        <f t="shared" si="110"/>
        <v>17000</v>
      </c>
      <c r="AM101" s="300">
        <f t="shared" si="110"/>
        <v>0</v>
      </c>
      <c r="AN101" s="300">
        <f t="shared" si="110"/>
        <v>0</v>
      </c>
      <c r="AO101" s="300">
        <f t="shared" si="110"/>
        <v>16500</v>
      </c>
      <c r="AP101" s="300">
        <f t="shared" si="110"/>
        <v>16500</v>
      </c>
      <c r="AQ101" s="300">
        <f t="shared" si="110"/>
        <v>0</v>
      </c>
      <c r="AR101" s="300">
        <f t="shared" si="110"/>
        <v>0</v>
      </c>
      <c r="AS101" s="300">
        <f t="shared" ref="AS101:AY101" si="111">SUM(AS102:AS106)</f>
        <v>16500</v>
      </c>
      <c r="AT101" s="300">
        <f t="shared" si="111"/>
        <v>16900</v>
      </c>
      <c r="AU101" s="300">
        <f t="shared" si="111"/>
        <v>16900</v>
      </c>
      <c r="AV101" s="300">
        <f>SUM(AV102:AV107)</f>
        <v>26612</v>
      </c>
      <c r="AW101" s="300">
        <f>SUM(AW102:AW107)</f>
        <v>26612</v>
      </c>
      <c r="AX101" s="300">
        <f t="shared" si="111"/>
        <v>0</v>
      </c>
      <c r="AY101" s="300">
        <f t="shared" si="111"/>
        <v>0</v>
      </c>
      <c r="AZ101" s="301"/>
    </row>
    <row r="102" spans="1:53" s="270" customFormat="1" ht="91.5" customHeight="1">
      <c r="A102" s="209">
        <v>1</v>
      </c>
      <c r="B102" s="271" t="s">
        <v>374</v>
      </c>
      <c r="C102" s="243" t="s">
        <v>350</v>
      </c>
      <c r="D102" s="243"/>
      <c r="E102" s="243" t="s">
        <v>813</v>
      </c>
      <c r="F102" s="243"/>
      <c r="G102" s="272"/>
      <c r="H102" s="243" t="s">
        <v>676</v>
      </c>
      <c r="I102" s="248" t="s">
        <v>375</v>
      </c>
      <c r="J102" s="212">
        <v>13400</v>
      </c>
      <c r="K102" s="212">
        <v>13400</v>
      </c>
      <c r="L102" s="212"/>
      <c r="M102" s="212"/>
      <c r="N102" s="212"/>
      <c r="O102" s="212"/>
      <c r="P102" s="212">
        <f t="shared" ref="P102:Q106" si="112">L102+W102</f>
        <v>176</v>
      </c>
      <c r="Q102" s="212">
        <f t="shared" si="112"/>
        <v>176</v>
      </c>
      <c r="R102" s="212">
        <v>13400</v>
      </c>
      <c r="S102" s="212">
        <v>5088</v>
      </c>
      <c r="T102" s="212"/>
      <c r="U102" s="212"/>
      <c r="V102" s="212"/>
      <c r="W102" s="212">
        <v>176</v>
      </c>
      <c r="X102" s="212">
        <v>176</v>
      </c>
      <c r="Y102" s="212"/>
      <c r="Z102" s="212"/>
      <c r="AA102" s="212"/>
      <c r="AB102" s="212"/>
      <c r="AC102" s="212"/>
      <c r="AD102" s="212"/>
      <c r="AE102" s="212"/>
      <c r="AF102" s="212"/>
      <c r="AG102" s="212">
        <f>W102+AA102+6132</f>
        <v>6308</v>
      </c>
      <c r="AH102" s="212">
        <f t="shared" si="91"/>
        <v>176</v>
      </c>
      <c r="AI102" s="212"/>
      <c r="AJ102" s="212"/>
      <c r="AK102" s="212">
        <f t="shared" si="92"/>
        <v>2500</v>
      </c>
      <c r="AL102" s="212">
        <f t="shared" si="93"/>
        <v>2500</v>
      </c>
      <c r="AM102" s="212">
        <f t="shared" si="94"/>
        <v>0</v>
      </c>
      <c r="AN102" s="212">
        <f t="shared" si="95"/>
        <v>0</v>
      </c>
      <c r="AO102" s="212">
        <f>AP102</f>
        <v>2500</v>
      </c>
      <c r="AP102" s="212">
        <v>2500</v>
      </c>
      <c r="AQ102" s="212"/>
      <c r="AR102" s="212"/>
      <c r="AS102" s="212">
        <f t="shared" ref="AS102" si="113">V102+AP102</f>
        <v>2500</v>
      </c>
      <c r="AT102" s="212">
        <f t="shared" ref="AT102" si="114">AU102</f>
        <v>2676</v>
      </c>
      <c r="AU102" s="212">
        <f t="shared" ref="AU102" si="115">AH102+AP102</f>
        <v>2676</v>
      </c>
      <c r="AV102" s="212">
        <f t="shared" ref="AV102" si="116">AW102</f>
        <v>2212</v>
      </c>
      <c r="AW102" s="212">
        <v>2212</v>
      </c>
      <c r="AX102" s="212"/>
      <c r="AY102" s="212"/>
      <c r="AZ102" s="602" t="s">
        <v>1040</v>
      </c>
      <c r="BA102" s="279"/>
    </row>
    <row r="103" spans="1:53" s="262" customFormat="1" ht="48" customHeight="1">
      <c r="A103" s="209">
        <v>2</v>
      </c>
      <c r="B103" s="267" t="s">
        <v>379</v>
      </c>
      <c r="C103" s="243" t="s">
        <v>350</v>
      </c>
      <c r="D103" s="243"/>
      <c r="E103" s="243" t="s">
        <v>811</v>
      </c>
      <c r="F103" s="243"/>
      <c r="G103" s="243"/>
      <c r="H103" s="243" t="s">
        <v>684</v>
      </c>
      <c r="I103" s="254" t="s">
        <v>683</v>
      </c>
      <c r="J103" s="489">
        <v>5400</v>
      </c>
      <c r="K103" s="489">
        <v>5400</v>
      </c>
      <c r="L103" s="212"/>
      <c r="M103" s="212"/>
      <c r="N103" s="212"/>
      <c r="O103" s="212"/>
      <c r="P103" s="212">
        <f t="shared" si="112"/>
        <v>0</v>
      </c>
      <c r="Q103" s="212">
        <f t="shared" si="112"/>
        <v>0</v>
      </c>
      <c r="R103" s="212">
        <f>S103</f>
        <v>5400</v>
      </c>
      <c r="S103" s="212">
        <v>5400</v>
      </c>
      <c r="T103" s="212"/>
      <c r="U103" s="212"/>
      <c r="V103" s="212"/>
      <c r="W103" s="212"/>
      <c r="X103" s="212"/>
      <c r="Y103" s="212"/>
      <c r="Z103" s="212"/>
      <c r="AA103" s="212"/>
      <c r="AB103" s="212"/>
      <c r="AC103" s="212"/>
      <c r="AD103" s="212"/>
      <c r="AE103" s="212"/>
      <c r="AF103" s="212"/>
      <c r="AG103" s="212">
        <f t="shared" si="90"/>
        <v>0</v>
      </c>
      <c r="AH103" s="212">
        <f t="shared" si="91"/>
        <v>0</v>
      </c>
      <c r="AI103" s="212"/>
      <c r="AJ103" s="212"/>
      <c r="AK103" s="212">
        <f t="shared" si="92"/>
        <v>3000</v>
      </c>
      <c r="AL103" s="212">
        <f t="shared" si="93"/>
        <v>3000</v>
      </c>
      <c r="AM103" s="212">
        <f t="shared" si="94"/>
        <v>0</v>
      </c>
      <c r="AN103" s="212">
        <f t="shared" si="95"/>
        <v>0</v>
      </c>
      <c r="AO103" s="212">
        <f>AP103</f>
        <v>3000</v>
      </c>
      <c r="AP103" s="212">
        <v>3000</v>
      </c>
      <c r="AQ103" s="212"/>
      <c r="AR103" s="212"/>
      <c r="AS103" s="212">
        <f t="shared" ref="AS103:AS106" si="117">V103+AP103</f>
        <v>3000</v>
      </c>
      <c r="AT103" s="212">
        <f t="shared" ref="AT103:AT106" si="118">AU103</f>
        <v>3000</v>
      </c>
      <c r="AU103" s="212">
        <f t="shared" ref="AU103:AU106" si="119">AH103+AP103</f>
        <v>3000</v>
      </c>
      <c r="AV103" s="212">
        <f t="shared" ref="AV103:AV107" si="120">AW103</f>
        <v>2400</v>
      </c>
      <c r="AW103" s="212">
        <f t="shared" ref="AW103" si="121">S103-AU103</f>
        <v>2400</v>
      </c>
      <c r="AX103" s="212"/>
      <c r="AY103" s="212"/>
      <c r="AZ103" s="243"/>
      <c r="BA103" s="201"/>
    </row>
    <row r="104" spans="1:53" s="270" customFormat="1" ht="43.5" customHeight="1">
      <c r="A104" s="209">
        <v>3</v>
      </c>
      <c r="B104" s="267" t="s">
        <v>680</v>
      </c>
      <c r="C104" s="243" t="s">
        <v>350</v>
      </c>
      <c r="D104" s="243"/>
      <c r="E104" s="243" t="s">
        <v>811</v>
      </c>
      <c r="F104" s="243"/>
      <c r="G104" s="272"/>
      <c r="H104" s="303" t="s">
        <v>676</v>
      </c>
      <c r="I104" s="254" t="s">
        <v>681</v>
      </c>
      <c r="J104" s="489">
        <f>K104</f>
        <v>7300</v>
      </c>
      <c r="K104" s="489">
        <v>7300</v>
      </c>
      <c r="L104" s="212"/>
      <c r="M104" s="212"/>
      <c r="N104" s="212"/>
      <c r="O104" s="212"/>
      <c r="P104" s="212">
        <f t="shared" si="112"/>
        <v>104</v>
      </c>
      <c r="Q104" s="212">
        <f t="shared" si="112"/>
        <v>104</v>
      </c>
      <c r="R104" s="212">
        <f>S104</f>
        <v>7300</v>
      </c>
      <c r="S104" s="212">
        <v>7300</v>
      </c>
      <c r="T104" s="212"/>
      <c r="U104" s="212"/>
      <c r="V104" s="212"/>
      <c r="W104" s="212">
        <v>104</v>
      </c>
      <c r="X104" s="212">
        <v>104</v>
      </c>
      <c r="Y104" s="212"/>
      <c r="Z104" s="212"/>
      <c r="AA104" s="212"/>
      <c r="AB104" s="212"/>
      <c r="AC104" s="212"/>
      <c r="AD104" s="212"/>
      <c r="AE104" s="212"/>
      <c r="AF104" s="212"/>
      <c r="AG104" s="212">
        <f t="shared" si="90"/>
        <v>104</v>
      </c>
      <c r="AH104" s="212">
        <f t="shared" si="91"/>
        <v>104</v>
      </c>
      <c r="AI104" s="212"/>
      <c r="AJ104" s="212"/>
      <c r="AK104" s="212">
        <f t="shared" si="92"/>
        <v>2000</v>
      </c>
      <c r="AL104" s="212">
        <f t="shared" si="93"/>
        <v>2000</v>
      </c>
      <c r="AM104" s="212">
        <f t="shared" si="94"/>
        <v>0</v>
      </c>
      <c r="AN104" s="212">
        <f t="shared" si="95"/>
        <v>0</v>
      </c>
      <c r="AO104" s="212">
        <f>AP104</f>
        <v>2000</v>
      </c>
      <c r="AP104" s="212">
        <v>2000</v>
      </c>
      <c r="AQ104" s="212"/>
      <c r="AR104" s="212"/>
      <c r="AS104" s="212">
        <f t="shared" si="117"/>
        <v>2000</v>
      </c>
      <c r="AT104" s="212">
        <f t="shared" si="118"/>
        <v>2104</v>
      </c>
      <c r="AU104" s="212">
        <f t="shared" si="119"/>
        <v>2104</v>
      </c>
      <c r="AV104" s="212">
        <f t="shared" si="120"/>
        <v>3500</v>
      </c>
      <c r="AW104" s="212">
        <v>3500</v>
      </c>
      <c r="AX104" s="212"/>
      <c r="AY104" s="212"/>
      <c r="AZ104" s="303"/>
      <c r="BA104" s="279">
        <f>AW104</f>
        <v>3500</v>
      </c>
    </row>
    <row r="105" spans="1:53" s="262" customFormat="1" ht="49.5" customHeight="1">
      <c r="A105" s="209">
        <v>4</v>
      </c>
      <c r="B105" s="288" t="s">
        <v>378</v>
      </c>
      <c r="C105" s="243" t="s">
        <v>350</v>
      </c>
      <c r="D105" s="243"/>
      <c r="E105" s="243" t="s">
        <v>811</v>
      </c>
      <c r="F105" s="243"/>
      <c r="G105" s="243"/>
      <c r="H105" s="243" t="s">
        <v>367</v>
      </c>
      <c r="I105" s="261" t="s">
        <v>777</v>
      </c>
      <c r="J105" s="212">
        <f>K105</f>
        <v>25000</v>
      </c>
      <c r="K105" s="212">
        <v>25000</v>
      </c>
      <c r="L105" s="212"/>
      <c r="M105" s="212"/>
      <c r="N105" s="212"/>
      <c r="O105" s="212"/>
      <c r="P105" s="212">
        <f t="shared" si="112"/>
        <v>0</v>
      </c>
      <c r="Q105" s="212">
        <f t="shared" si="112"/>
        <v>0</v>
      </c>
      <c r="R105" s="212">
        <f>S105</f>
        <v>22500</v>
      </c>
      <c r="S105" s="212">
        <v>22500</v>
      </c>
      <c r="T105" s="212"/>
      <c r="U105" s="212"/>
      <c r="V105" s="212"/>
      <c r="W105" s="212"/>
      <c r="X105" s="212"/>
      <c r="Y105" s="212"/>
      <c r="Z105" s="212"/>
      <c r="AA105" s="212"/>
      <c r="AB105" s="212"/>
      <c r="AC105" s="212"/>
      <c r="AD105" s="212"/>
      <c r="AE105" s="212"/>
      <c r="AF105" s="212"/>
      <c r="AG105" s="215">
        <f>W105+AA105</f>
        <v>0</v>
      </c>
      <c r="AH105" s="215">
        <f>X105+AB105</f>
        <v>0</v>
      </c>
      <c r="AI105" s="215"/>
      <c r="AJ105" s="215"/>
      <c r="AK105" s="212">
        <f>AO105</f>
        <v>6000</v>
      </c>
      <c r="AL105" s="212">
        <f>AP105</f>
        <v>6000</v>
      </c>
      <c r="AM105" s="215">
        <f>AQ105</f>
        <v>0</v>
      </c>
      <c r="AN105" s="215">
        <f>AR105</f>
        <v>0</v>
      </c>
      <c r="AO105" s="212">
        <f>AP105</f>
        <v>6000</v>
      </c>
      <c r="AP105" s="212">
        <v>6000</v>
      </c>
      <c r="AQ105" s="212"/>
      <c r="AR105" s="212"/>
      <c r="AS105" s="212">
        <f t="shared" si="117"/>
        <v>6000</v>
      </c>
      <c r="AT105" s="212">
        <f t="shared" si="118"/>
        <v>6000</v>
      </c>
      <c r="AU105" s="212">
        <f t="shared" si="119"/>
        <v>6000</v>
      </c>
      <c r="AV105" s="212">
        <f t="shared" si="120"/>
        <v>6000</v>
      </c>
      <c r="AW105" s="212">
        <v>6000</v>
      </c>
      <c r="AX105" s="212"/>
      <c r="AY105" s="212"/>
      <c r="AZ105" s="243"/>
      <c r="BA105" s="201"/>
    </row>
    <row r="106" spans="1:53" s="262" customFormat="1" ht="44.25" customHeight="1">
      <c r="A106" s="209">
        <v>6</v>
      </c>
      <c r="B106" s="267" t="s">
        <v>376</v>
      </c>
      <c r="C106" s="243" t="s">
        <v>350</v>
      </c>
      <c r="D106" s="243"/>
      <c r="E106" s="243" t="s">
        <v>814</v>
      </c>
      <c r="F106" s="243"/>
      <c r="G106" s="243"/>
      <c r="H106" s="303" t="s">
        <v>676</v>
      </c>
      <c r="I106" s="254" t="s">
        <v>665</v>
      </c>
      <c r="J106" s="489">
        <v>6800</v>
      </c>
      <c r="K106" s="489">
        <v>6800</v>
      </c>
      <c r="L106" s="212"/>
      <c r="M106" s="212"/>
      <c r="N106" s="212"/>
      <c r="O106" s="212"/>
      <c r="P106" s="212">
        <f t="shared" si="112"/>
        <v>0</v>
      </c>
      <c r="Q106" s="212">
        <f t="shared" si="112"/>
        <v>0</v>
      </c>
      <c r="R106" s="212">
        <v>6800</v>
      </c>
      <c r="S106" s="212">
        <v>6800</v>
      </c>
      <c r="T106" s="212" t="s">
        <v>311</v>
      </c>
      <c r="U106" s="212">
        <v>0</v>
      </c>
      <c r="V106" s="212"/>
      <c r="W106" s="212"/>
      <c r="X106" s="212"/>
      <c r="Y106" s="212"/>
      <c r="Z106" s="212"/>
      <c r="AA106" s="212">
        <v>120</v>
      </c>
      <c r="AB106" s="212">
        <v>120</v>
      </c>
      <c r="AC106" s="212"/>
      <c r="AD106" s="212"/>
      <c r="AE106" s="212"/>
      <c r="AF106" s="212"/>
      <c r="AG106" s="212">
        <f t="shared" si="90"/>
        <v>120</v>
      </c>
      <c r="AH106" s="212">
        <f t="shared" si="91"/>
        <v>120</v>
      </c>
      <c r="AI106" s="212"/>
      <c r="AJ106" s="212"/>
      <c r="AK106" s="212">
        <f>AL106</f>
        <v>3500</v>
      </c>
      <c r="AL106" s="212">
        <v>3500</v>
      </c>
      <c r="AM106" s="212">
        <f t="shared" si="94"/>
        <v>0</v>
      </c>
      <c r="AN106" s="212"/>
      <c r="AO106" s="212">
        <v>3000</v>
      </c>
      <c r="AP106" s="212">
        <v>3000</v>
      </c>
      <c r="AQ106" s="212"/>
      <c r="AR106" s="212"/>
      <c r="AS106" s="212">
        <f t="shared" si="117"/>
        <v>3000</v>
      </c>
      <c r="AT106" s="212">
        <f t="shared" si="118"/>
        <v>3120</v>
      </c>
      <c r="AU106" s="212">
        <f t="shared" si="119"/>
        <v>3120</v>
      </c>
      <c r="AV106" s="212">
        <f t="shared" si="120"/>
        <v>2500</v>
      </c>
      <c r="AW106" s="212">
        <v>2500</v>
      </c>
      <c r="AX106" s="212"/>
      <c r="AY106" s="212"/>
      <c r="AZ106" s="299"/>
      <c r="BA106" s="201"/>
    </row>
    <row r="107" spans="1:53" ht="49.5" customHeight="1">
      <c r="A107" s="210">
        <v>7</v>
      </c>
      <c r="B107" s="547" t="s">
        <v>940</v>
      </c>
      <c r="C107" s="303"/>
      <c r="D107" s="303"/>
      <c r="E107" s="303"/>
      <c r="F107" s="303"/>
      <c r="G107" s="303"/>
      <c r="H107" s="243" t="s">
        <v>367</v>
      </c>
      <c r="I107" s="620" t="s">
        <v>1050</v>
      </c>
      <c r="J107" s="601">
        <f>+K107</f>
        <v>14990</v>
      </c>
      <c r="K107" s="601">
        <v>14990</v>
      </c>
      <c r="L107" s="354"/>
      <c r="M107" s="354"/>
      <c r="N107" s="354"/>
      <c r="O107" s="354"/>
      <c r="P107" s="354"/>
      <c r="Q107" s="354"/>
      <c r="R107" s="354">
        <f>+S107</f>
        <v>15000</v>
      </c>
      <c r="S107" s="354">
        <v>15000</v>
      </c>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212"/>
      <c r="AT107" s="212"/>
      <c r="AU107" s="212"/>
      <c r="AV107" s="212">
        <f t="shared" si="120"/>
        <v>10000</v>
      </c>
      <c r="AW107" s="212">
        <v>10000</v>
      </c>
      <c r="AX107" s="212"/>
      <c r="AY107" s="212"/>
      <c r="AZ107" s="246" t="s">
        <v>987</v>
      </c>
    </row>
    <row r="108" spans="1:53" s="251" customFormat="1" ht="32.25" customHeight="1">
      <c r="A108" s="213" t="s">
        <v>279</v>
      </c>
      <c r="B108" s="253" t="s">
        <v>898</v>
      </c>
      <c r="C108" s="229"/>
      <c r="D108" s="229"/>
      <c r="E108" s="229"/>
      <c r="F108" s="229"/>
      <c r="G108" s="229"/>
      <c r="H108" s="229"/>
      <c r="I108" s="231"/>
      <c r="J108" s="215">
        <f>J109</f>
        <v>7000</v>
      </c>
      <c r="K108" s="215">
        <f t="shared" ref="K108:AW108" si="122">K109</f>
        <v>7000</v>
      </c>
      <c r="L108" s="215">
        <f t="shared" si="122"/>
        <v>0</v>
      </c>
      <c r="M108" s="215">
        <f t="shared" si="122"/>
        <v>0</v>
      </c>
      <c r="N108" s="215">
        <f t="shared" si="122"/>
        <v>0</v>
      </c>
      <c r="O108" s="215">
        <f t="shared" si="122"/>
        <v>0</v>
      </c>
      <c r="P108" s="215">
        <f t="shared" si="122"/>
        <v>0</v>
      </c>
      <c r="Q108" s="215">
        <f t="shared" si="122"/>
        <v>0</v>
      </c>
      <c r="R108" s="215">
        <f t="shared" si="122"/>
        <v>3000</v>
      </c>
      <c r="S108" s="215">
        <f t="shared" si="122"/>
        <v>3000</v>
      </c>
      <c r="T108" s="215">
        <f t="shared" si="122"/>
        <v>0</v>
      </c>
      <c r="U108" s="215">
        <f t="shared" si="122"/>
        <v>0</v>
      </c>
      <c r="V108" s="215">
        <f t="shared" si="122"/>
        <v>0</v>
      </c>
      <c r="W108" s="215">
        <f t="shared" si="122"/>
        <v>0</v>
      </c>
      <c r="X108" s="215">
        <f t="shared" si="122"/>
        <v>0</v>
      </c>
      <c r="Y108" s="215">
        <f t="shared" si="122"/>
        <v>0</v>
      </c>
      <c r="Z108" s="215">
        <f t="shared" si="122"/>
        <v>0</v>
      </c>
      <c r="AA108" s="215">
        <f t="shared" si="122"/>
        <v>0</v>
      </c>
      <c r="AB108" s="215">
        <f t="shared" si="122"/>
        <v>0</v>
      </c>
      <c r="AC108" s="215">
        <f t="shared" si="122"/>
        <v>0</v>
      </c>
      <c r="AD108" s="215">
        <f t="shared" si="122"/>
        <v>0</v>
      </c>
      <c r="AE108" s="215">
        <f t="shared" si="122"/>
        <v>0</v>
      </c>
      <c r="AF108" s="215">
        <f t="shared" si="122"/>
        <v>0</v>
      </c>
      <c r="AG108" s="215">
        <f t="shared" si="122"/>
        <v>0</v>
      </c>
      <c r="AH108" s="215">
        <f t="shared" si="122"/>
        <v>0</v>
      </c>
      <c r="AI108" s="215"/>
      <c r="AJ108" s="215"/>
      <c r="AK108" s="215">
        <f t="shared" si="122"/>
        <v>100</v>
      </c>
      <c r="AL108" s="215">
        <f t="shared" si="122"/>
        <v>100</v>
      </c>
      <c r="AM108" s="215">
        <f t="shared" si="122"/>
        <v>0</v>
      </c>
      <c r="AN108" s="215">
        <f t="shared" si="122"/>
        <v>0</v>
      </c>
      <c r="AO108" s="215">
        <f t="shared" si="122"/>
        <v>100</v>
      </c>
      <c r="AP108" s="215">
        <f>AP109</f>
        <v>100</v>
      </c>
      <c r="AQ108" s="215">
        <f t="shared" si="122"/>
        <v>0</v>
      </c>
      <c r="AR108" s="215">
        <f t="shared" si="122"/>
        <v>0</v>
      </c>
      <c r="AS108" s="215">
        <f t="shared" si="122"/>
        <v>100</v>
      </c>
      <c r="AT108" s="215">
        <f t="shared" si="122"/>
        <v>100</v>
      </c>
      <c r="AU108" s="215">
        <f t="shared" si="122"/>
        <v>100</v>
      </c>
      <c r="AV108" s="215">
        <f t="shared" si="122"/>
        <v>2450</v>
      </c>
      <c r="AW108" s="215">
        <f t="shared" si="122"/>
        <v>2450</v>
      </c>
      <c r="AX108" s="215"/>
      <c r="AY108" s="215"/>
      <c r="AZ108" s="302"/>
      <c r="BA108" s="232"/>
    </row>
    <row r="109" spans="1:53" s="251" customFormat="1" ht="35.25" customHeight="1">
      <c r="A109" s="275" t="s">
        <v>35</v>
      </c>
      <c r="B109" s="236" t="s">
        <v>45</v>
      </c>
      <c r="C109" s="229"/>
      <c r="D109" s="229"/>
      <c r="E109" s="229"/>
      <c r="F109" s="229"/>
      <c r="G109" s="229"/>
      <c r="H109" s="229"/>
      <c r="I109" s="231"/>
      <c r="J109" s="215">
        <f>+J110</f>
        <v>7000</v>
      </c>
      <c r="K109" s="215">
        <f t="shared" ref="K109:AW109" si="123">+K110</f>
        <v>7000</v>
      </c>
      <c r="L109" s="215">
        <f t="shared" si="123"/>
        <v>0</v>
      </c>
      <c r="M109" s="215">
        <f t="shared" si="123"/>
        <v>0</v>
      </c>
      <c r="N109" s="215">
        <f t="shared" si="123"/>
        <v>0</v>
      </c>
      <c r="O109" s="215">
        <f t="shared" si="123"/>
        <v>0</v>
      </c>
      <c r="P109" s="215">
        <f t="shared" si="123"/>
        <v>0</v>
      </c>
      <c r="Q109" s="215">
        <f t="shared" si="123"/>
        <v>0</v>
      </c>
      <c r="R109" s="215">
        <f t="shared" si="123"/>
        <v>3000</v>
      </c>
      <c r="S109" s="215">
        <f t="shared" si="123"/>
        <v>3000</v>
      </c>
      <c r="T109" s="215">
        <f t="shared" si="123"/>
        <v>0</v>
      </c>
      <c r="U109" s="215">
        <f t="shared" si="123"/>
        <v>0</v>
      </c>
      <c r="V109" s="215">
        <f t="shared" si="123"/>
        <v>0</v>
      </c>
      <c r="W109" s="215">
        <f t="shared" si="123"/>
        <v>0</v>
      </c>
      <c r="X109" s="215">
        <f t="shared" si="123"/>
        <v>0</v>
      </c>
      <c r="Y109" s="215">
        <f t="shared" si="123"/>
        <v>0</v>
      </c>
      <c r="Z109" s="215">
        <f t="shared" si="123"/>
        <v>0</v>
      </c>
      <c r="AA109" s="215">
        <f t="shared" si="123"/>
        <v>0</v>
      </c>
      <c r="AB109" s="215">
        <f t="shared" si="123"/>
        <v>0</v>
      </c>
      <c r="AC109" s="215">
        <f t="shared" si="123"/>
        <v>0</v>
      </c>
      <c r="AD109" s="215">
        <f t="shared" si="123"/>
        <v>0</v>
      </c>
      <c r="AE109" s="215">
        <f t="shared" si="123"/>
        <v>0</v>
      </c>
      <c r="AF109" s="215">
        <f t="shared" si="123"/>
        <v>0</v>
      </c>
      <c r="AG109" s="215">
        <f t="shared" si="123"/>
        <v>0</v>
      </c>
      <c r="AH109" s="215">
        <f t="shared" si="123"/>
        <v>0</v>
      </c>
      <c r="AI109" s="215">
        <f t="shared" si="123"/>
        <v>0</v>
      </c>
      <c r="AJ109" s="215">
        <f t="shared" si="123"/>
        <v>0</v>
      </c>
      <c r="AK109" s="215">
        <f t="shared" si="123"/>
        <v>100</v>
      </c>
      <c r="AL109" s="215">
        <f t="shared" si="123"/>
        <v>100</v>
      </c>
      <c r="AM109" s="215">
        <f t="shared" si="123"/>
        <v>0</v>
      </c>
      <c r="AN109" s="215">
        <f t="shared" si="123"/>
        <v>0</v>
      </c>
      <c r="AO109" s="215">
        <f t="shared" si="123"/>
        <v>100</v>
      </c>
      <c r="AP109" s="215">
        <f t="shared" si="123"/>
        <v>100</v>
      </c>
      <c r="AQ109" s="215">
        <f t="shared" si="123"/>
        <v>0</v>
      </c>
      <c r="AR109" s="215">
        <f t="shared" si="123"/>
        <v>0</v>
      </c>
      <c r="AS109" s="215">
        <f t="shared" si="123"/>
        <v>100</v>
      </c>
      <c r="AT109" s="215">
        <f t="shared" si="123"/>
        <v>100</v>
      </c>
      <c r="AU109" s="215">
        <f t="shared" si="123"/>
        <v>100</v>
      </c>
      <c r="AV109" s="215">
        <f t="shared" si="123"/>
        <v>2450</v>
      </c>
      <c r="AW109" s="215">
        <f t="shared" si="123"/>
        <v>2450</v>
      </c>
      <c r="AX109" s="215"/>
      <c r="AY109" s="215"/>
      <c r="AZ109" s="302"/>
      <c r="BA109" s="232"/>
    </row>
    <row r="110" spans="1:53" s="262" customFormat="1" ht="41.25" customHeight="1">
      <c r="A110" s="209">
        <v>1</v>
      </c>
      <c r="B110" s="642" t="s">
        <v>381</v>
      </c>
      <c r="C110" s="243" t="s">
        <v>350</v>
      </c>
      <c r="D110" s="243"/>
      <c r="E110" s="243" t="s">
        <v>811</v>
      </c>
      <c r="F110" s="243"/>
      <c r="G110" s="243"/>
      <c r="H110" s="243" t="s">
        <v>380</v>
      </c>
      <c r="I110" s="261" t="s">
        <v>957</v>
      </c>
      <c r="J110" s="212">
        <v>7000</v>
      </c>
      <c r="K110" s="212">
        <v>7000</v>
      </c>
      <c r="L110" s="212"/>
      <c r="M110" s="212"/>
      <c r="N110" s="212"/>
      <c r="O110" s="212"/>
      <c r="P110" s="212">
        <f t="shared" ref="P110:Q110" si="124">L110+W110</f>
        <v>0</v>
      </c>
      <c r="Q110" s="212">
        <f t="shared" si="124"/>
        <v>0</v>
      </c>
      <c r="R110" s="273">
        <f>S110</f>
        <v>3000</v>
      </c>
      <c r="S110" s="273">
        <v>3000</v>
      </c>
      <c r="T110" s="212"/>
      <c r="U110" s="212"/>
      <c r="V110" s="212"/>
      <c r="W110" s="212"/>
      <c r="X110" s="212"/>
      <c r="Y110" s="212"/>
      <c r="Z110" s="212"/>
      <c r="AA110" s="212"/>
      <c r="AB110" s="212"/>
      <c r="AC110" s="212"/>
      <c r="AD110" s="212"/>
      <c r="AE110" s="212"/>
      <c r="AF110" s="212"/>
      <c r="AG110" s="215">
        <f t="shared" ref="AG110:AH110" si="125">W110+AA110</f>
        <v>0</v>
      </c>
      <c r="AH110" s="215">
        <f t="shared" si="125"/>
        <v>0</v>
      </c>
      <c r="AI110" s="215"/>
      <c r="AJ110" s="215"/>
      <c r="AK110" s="212">
        <f t="shared" ref="AK110:AN110" si="126">AO110</f>
        <v>100</v>
      </c>
      <c r="AL110" s="212">
        <f t="shared" si="126"/>
        <v>100</v>
      </c>
      <c r="AM110" s="215">
        <f t="shared" si="126"/>
        <v>0</v>
      </c>
      <c r="AN110" s="215">
        <f t="shared" si="126"/>
        <v>0</v>
      </c>
      <c r="AO110" s="212">
        <f>AP110</f>
        <v>100</v>
      </c>
      <c r="AP110" s="212">
        <v>100</v>
      </c>
      <c r="AQ110" s="212"/>
      <c r="AR110" s="212"/>
      <c r="AS110" s="212">
        <v>100</v>
      </c>
      <c r="AT110" s="212">
        <f>+AU110</f>
        <v>100</v>
      </c>
      <c r="AU110" s="212">
        <v>100</v>
      </c>
      <c r="AV110" s="212">
        <f>AW110</f>
        <v>2450</v>
      </c>
      <c r="AW110" s="212">
        <v>2450</v>
      </c>
      <c r="AX110" s="212"/>
      <c r="AY110" s="212"/>
      <c r="AZ110" s="299" t="s">
        <v>907</v>
      </c>
      <c r="BA110" s="201"/>
    </row>
    <row r="111" spans="1:53" s="262" customFormat="1" ht="38.25" hidden="1" customHeight="1">
      <c r="A111" s="209">
        <v>2</v>
      </c>
      <c r="B111" s="267" t="s">
        <v>377</v>
      </c>
      <c r="C111" s="243" t="s">
        <v>350</v>
      </c>
      <c r="D111" s="243"/>
      <c r="E111" s="243" t="s">
        <v>811</v>
      </c>
      <c r="F111" s="243"/>
      <c r="G111" s="243"/>
      <c r="H111" s="243"/>
      <c r="I111" s="248"/>
      <c r="J111" s="212">
        <f>+K111</f>
        <v>7000</v>
      </c>
      <c r="K111" s="212">
        <v>7000</v>
      </c>
      <c r="L111" s="212"/>
      <c r="M111" s="212"/>
      <c r="N111" s="212"/>
      <c r="O111" s="212"/>
      <c r="P111" s="212">
        <f t="shared" ref="P111" si="127">L111+W111</f>
        <v>0</v>
      </c>
      <c r="Q111" s="212">
        <f t="shared" ref="Q111" si="128">M111+X111</f>
        <v>0</v>
      </c>
      <c r="R111" s="212">
        <f>S111</f>
        <v>5000</v>
      </c>
      <c r="S111" s="212">
        <v>5000</v>
      </c>
      <c r="T111" s="212"/>
      <c r="U111" s="212"/>
      <c r="V111" s="212"/>
      <c r="W111" s="212"/>
      <c r="X111" s="212"/>
      <c r="Y111" s="212"/>
      <c r="Z111" s="212"/>
      <c r="AA111" s="212"/>
      <c r="AB111" s="212"/>
      <c r="AC111" s="212"/>
      <c r="AD111" s="212"/>
      <c r="AE111" s="212"/>
      <c r="AF111" s="212"/>
      <c r="AG111" s="212">
        <f t="shared" ref="AG111" si="129">W111+AA111</f>
        <v>0</v>
      </c>
      <c r="AH111" s="212">
        <f t="shared" ref="AH111" si="130">X111+AB111</f>
        <v>0</v>
      </c>
      <c r="AI111" s="212"/>
      <c r="AJ111" s="212"/>
      <c r="AK111" s="212">
        <f t="shared" ref="AK111" si="131">AO111</f>
        <v>120</v>
      </c>
      <c r="AL111" s="212">
        <f t="shared" ref="AL111" si="132">AP111</f>
        <v>120</v>
      </c>
      <c r="AM111" s="212">
        <f t="shared" ref="AM111" si="133">AQ111</f>
        <v>0</v>
      </c>
      <c r="AN111" s="212">
        <f t="shared" ref="AN111" si="134">AR111</f>
        <v>0</v>
      </c>
      <c r="AO111" s="212">
        <f>AP111</f>
        <v>120</v>
      </c>
      <c r="AP111" s="212">
        <v>120</v>
      </c>
      <c r="AQ111" s="212"/>
      <c r="AR111" s="212"/>
      <c r="AS111" s="212"/>
      <c r="AT111" s="212"/>
      <c r="AU111" s="212"/>
      <c r="AV111" s="212">
        <f>AW111</f>
        <v>0</v>
      </c>
      <c r="AW111" s="212"/>
      <c r="AX111" s="212"/>
      <c r="AY111" s="212"/>
      <c r="AZ111" s="243"/>
      <c r="BA111" s="201"/>
    </row>
    <row r="112" spans="1:53" s="257" customFormat="1" ht="28.5" customHeight="1">
      <c r="A112" s="278"/>
      <c r="B112" s="644" t="s">
        <v>169</v>
      </c>
      <c r="C112" s="255"/>
      <c r="D112" s="255"/>
      <c r="E112" s="255"/>
      <c r="F112" s="255"/>
      <c r="G112" s="255"/>
      <c r="H112" s="255"/>
      <c r="I112" s="256"/>
      <c r="J112" s="277">
        <f>+J113+J114</f>
        <v>11000</v>
      </c>
      <c r="K112" s="277">
        <f t="shared" ref="K112:AW112" si="135">+K113+K114</f>
        <v>11000</v>
      </c>
      <c r="L112" s="277">
        <f t="shared" si="135"/>
        <v>0</v>
      </c>
      <c r="M112" s="277">
        <f t="shared" si="135"/>
        <v>0</v>
      </c>
      <c r="N112" s="277">
        <f t="shared" si="135"/>
        <v>0</v>
      </c>
      <c r="O112" s="277">
        <f t="shared" si="135"/>
        <v>0</v>
      </c>
      <c r="P112" s="277">
        <f t="shared" si="135"/>
        <v>0</v>
      </c>
      <c r="Q112" s="277">
        <f t="shared" si="135"/>
        <v>0</v>
      </c>
      <c r="R112" s="277">
        <f t="shared" si="135"/>
        <v>7422</v>
      </c>
      <c r="S112" s="277">
        <f t="shared" si="135"/>
        <v>7422</v>
      </c>
      <c r="T112" s="277">
        <f t="shared" si="135"/>
        <v>0</v>
      </c>
      <c r="U112" s="277">
        <f t="shared" si="135"/>
        <v>0</v>
      </c>
      <c r="V112" s="277">
        <f t="shared" si="135"/>
        <v>0</v>
      </c>
      <c r="W112" s="277">
        <f t="shared" si="135"/>
        <v>0</v>
      </c>
      <c r="X112" s="277">
        <f t="shared" si="135"/>
        <v>0</v>
      </c>
      <c r="Y112" s="277">
        <f t="shared" si="135"/>
        <v>0</v>
      </c>
      <c r="Z112" s="277">
        <f t="shared" si="135"/>
        <v>0</v>
      </c>
      <c r="AA112" s="277">
        <f t="shared" si="135"/>
        <v>0</v>
      </c>
      <c r="AB112" s="277">
        <f t="shared" si="135"/>
        <v>0</v>
      </c>
      <c r="AC112" s="277">
        <f t="shared" si="135"/>
        <v>0</v>
      </c>
      <c r="AD112" s="277">
        <f t="shared" si="135"/>
        <v>0</v>
      </c>
      <c r="AE112" s="277">
        <f t="shared" si="135"/>
        <v>0</v>
      </c>
      <c r="AF112" s="277">
        <f t="shared" si="135"/>
        <v>0</v>
      </c>
      <c r="AG112" s="277">
        <f t="shared" si="135"/>
        <v>0</v>
      </c>
      <c r="AH112" s="277">
        <f t="shared" si="135"/>
        <v>0</v>
      </c>
      <c r="AI112" s="277">
        <f t="shared" si="135"/>
        <v>0</v>
      </c>
      <c r="AJ112" s="277">
        <f t="shared" si="135"/>
        <v>0</v>
      </c>
      <c r="AK112" s="277">
        <f t="shared" si="135"/>
        <v>0</v>
      </c>
      <c r="AL112" s="277">
        <f t="shared" si="135"/>
        <v>0</v>
      </c>
      <c r="AM112" s="277">
        <f t="shared" si="135"/>
        <v>0</v>
      </c>
      <c r="AN112" s="277">
        <f t="shared" si="135"/>
        <v>0</v>
      </c>
      <c r="AO112" s="277">
        <f t="shared" si="135"/>
        <v>0</v>
      </c>
      <c r="AP112" s="277">
        <f t="shared" si="135"/>
        <v>0</v>
      </c>
      <c r="AQ112" s="277">
        <f t="shared" si="135"/>
        <v>0</v>
      </c>
      <c r="AR112" s="277">
        <f t="shared" si="135"/>
        <v>0</v>
      </c>
      <c r="AS112" s="277">
        <f t="shared" si="135"/>
        <v>0</v>
      </c>
      <c r="AT112" s="277">
        <f t="shared" si="135"/>
        <v>0</v>
      </c>
      <c r="AU112" s="277">
        <f t="shared" si="135"/>
        <v>0</v>
      </c>
      <c r="AV112" s="277">
        <f t="shared" si="135"/>
        <v>100</v>
      </c>
      <c r="AW112" s="277">
        <f t="shared" si="135"/>
        <v>100</v>
      </c>
      <c r="AX112" s="277"/>
      <c r="AY112" s="277"/>
      <c r="AZ112" s="255"/>
      <c r="BA112" s="533"/>
    </row>
    <row r="113" spans="1:53" s="262" customFormat="1" ht="37.5" customHeight="1">
      <c r="A113" s="209">
        <v>1</v>
      </c>
      <c r="B113" s="547" t="s">
        <v>1035</v>
      </c>
      <c r="C113" s="243"/>
      <c r="D113" s="243"/>
      <c r="E113" s="243"/>
      <c r="F113" s="243"/>
      <c r="G113" s="243"/>
      <c r="H113" s="243"/>
      <c r="I113" s="248"/>
      <c r="J113" s="212">
        <f>+K113</f>
        <v>4000</v>
      </c>
      <c r="K113" s="212">
        <v>4000</v>
      </c>
      <c r="L113" s="212"/>
      <c r="M113" s="212"/>
      <c r="N113" s="212"/>
      <c r="O113" s="212"/>
      <c r="P113" s="212"/>
      <c r="Q113" s="212"/>
      <c r="R113" s="212">
        <f>+S113</f>
        <v>4000</v>
      </c>
      <c r="S113" s="212">
        <v>4000</v>
      </c>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f>+AW113</f>
        <v>50</v>
      </c>
      <c r="AW113" s="212">
        <v>50</v>
      </c>
      <c r="AX113" s="212"/>
      <c r="AY113" s="212"/>
      <c r="AZ113" s="243" t="s">
        <v>944</v>
      </c>
      <c r="BA113" s="201">
        <f>+AW113</f>
        <v>50</v>
      </c>
    </row>
    <row r="114" spans="1:53" s="262" customFormat="1" ht="37.5" customHeight="1">
      <c r="A114" s="209">
        <v>2</v>
      </c>
      <c r="B114" s="645" t="s">
        <v>1037</v>
      </c>
      <c r="C114" s="243"/>
      <c r="D114" s="243"/>
      <c r="E114" s="243"/>
      <c r="F114" s="243"/>
      <c r="G114" s="243"/>
      <c r="H114" s="243"/>
      <c r="I114" s="248"/>
      <c r="J114" s="212">
        <f>+K114</f>
        <v>7000</v>
      </c>
      <c r="K114" s="212">
        <v>7000</v>
      </c>
      <c r="L114" s="212"/>
      <c r="M114" s="212"/>
      <c r="N114" s="212"/>
      <c r="O114" s="212"/>
      <c r="P114" s="212"/>
      <c r="Q114" s="212"/>
      <c r="R114" s="212">
        <f>+S114</f>
        <v>3422</v>
      </c>
      <c r="S114" s="212">
        <v>3422</v>
      </c>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f>+AW114</f>
        <v>50</v>
      </c>
      <c r="AW114" s="212">
        <v>50</v>
      </c>
      <c r="AX114" s="212"/>
      <c r="AY114" s="212"/>
      <c r="AZ114" s="243" t="s">
        <v>944</v>
      </c>
      <c r="BA114" s="201"/>
    </row>
    <row r="115" spans="1:53" s="262" customFormat="1" ht="26.25" customHeight="1">
      <c r="A115" s="209"/>
      <c r="B115" s="267"/>
      <c r="C115" s="243"/>
      <c r="D115" s="243"/>
      <c r="E115" s="243"/>
      <c r="F115" s="243"/>
      <c r="G115" s="243"/>
      <c r="H115" s="243"/>
      <c r="I115" s="248"/>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43"/>
      <c r="BA115" s="201"/>
    </row>
    <row r="116" spans="1:53" s="232" customFormat="1" ht="27.75" customHeight="1">
      <c r="A116" s="227"/>
      <c r="B116" s="228" t="s">
        <v>327</v>
      </c>
      <c r="C116" s="229"/>
      <c r="D116" s="229"/>
      <c r="E116" s="229"/>
      <c r="F116" s="229"/>
      <c r="G116" s="229"/>
      <c r="H116" s="229"/>
      <c r="I116" s="231"/>
      <c r="J116" s="215"/>
      <c r="K116" s="215"/>
      <c r="L116" s="215"/>
      <c r="M116" s="215"/>
      <c r="N116" s="215"/>
      <c r="O116" s="215"/>
      <c r="P116" s="212"/>
      <c r="Q116" s="212"/>
      <c r="R116" s="215"/>
      <c r="S116" s="215"/>
      <c r="T116" s="215"/>
      <c r="U116" s="215"/>
      <c r="V116" s="215"/>
      <c r="W116" s="215"/>
      <c r="X116" s="215"/>
      <c r="Y116" s="215"/>
      <c r="Z116" s="215"/>
      <c r="AA116" s="215"/>
      <c r="AB116" s="215">
        <v>27974</v>
      </c>
      <c r="AC116" s="215"/>
      <c r="AD116" s="215"/>
      <c r="AE116" s="215"/>
      <c r="AF116" s="215"/>
      <c r="AG116" s="215"/>
      <c r="AH116" s="215"/>
      <c r="AI116" s="215"/>
      <c r="AJ116" s="215"/>
      <c r="AK116" s="215"/>
      <c r="AL116" s="215"/>
      <c r="AM116" s="215"/>
      <c r="AN116" s="215"/>
      <c r="AO116" s="215"/>
      <c r="AP116" s="215">
        <v>29328.394138048847</v>
      </c>
      <c r="AQ116" s="215"/>
      <c r="AR116" s="215"/>
      <c r="AS116" s="215"/>
      <c r="AT116" s="215"/>
      <c r="AU116" s="215"/>
      <c r="AV116" s="215"/>
      <c r="AW116" s="215">
        <v>34671</v>
      </c>
      <c r="AX116" s="215"/>
      <c r="AY116" s="215"/>
      <c r="AZ116" s="650"/>
    </row>
    <row r="117" spans="1:53" s="251" customFormat="1" ht="28.5" customHeight="1">
      <c r="A117" s="252" t="s">
        <v>180</v>
      </c>
      <c r="B117" s="253" t="s">
        <v>382</v>
      </c>
      <c r="C117" s="229"/>
      <c r="D117" s="229"/>
      <c r="E117" s="229"/>
      <c r="F117" s="229"/>
      <c r="G117" s="235"/>
      <c r="H117" s="229"/>
      <c r="I117" s="231"/>
      <c r="J117" s="215">
        <f t="shared" ref="J117:AH117" si="136">J118+J121+J129</f>
        <v>93400</v>
      </c>
      <c r="K117" s="215">
        <f t="shared" si="136"/>
        <v>88741</v>
      </c>
      <c r="L117" s="215">
        <f t="shared" si="136"/>
        <v>0</v>
      </c>
      <c r="M117" s="215">
        <f t="shared" si="136"/>
        <v>0</v>
      </c>
      <c r="N117" s="215">
        <f t="shared" si="136"/>
        <v>0</v>
      </c>
      <c r="O117" s="215">
        <f t="shared" si="136"/>
        <v>0</v>
      </c>
      <c r="P117" s="215">
        <f t="shared" si="136"/>
        <v>553.5</v>
      </c>
      <c r="Q117" s="215">
        <f t="shared" si="136"/>
        <v>553.5</v>
      </c>
      <c r="R117" s="215">
        <f t="shared" si="136"/>
        <v>89364</v>
      </c>
      <c r="S117" s="215">
        <f t="shared" si="136"/>
        <v>84705</v>
      </c>
      <c r="T117" s="215">
        <f t="shared" si="136"/>
        <v>0</v>
      </c>
      <c r="U117" s="215">
        <f t="shared" si="136"/>
        <v>0</v>
      </c>
      <c r="V117" s="215">
        <f t="shared" si="136"/>
        <v>4053.5</v>
      </c>
      <c r="W117" s="215">
        <f t="shared" si="136"/>
        <v>553.5</v>
      </c>
      <c r="X117" s="215">
        <f t="shared" si="136"/>
        <v>553.5</v>
      </c>
      <c r="Y117" s="215">
        <f t="shared" si="136"/>
        <v>0</v>
      </c>
      <c r="Z117" s="215">
        <f t="shared" si="136"/>
        <v>0</v>
      </c>
      <c r="AA117" s="215">
        <f t="shared" si="136"/>
        <v>3878</v>
      </c>
      <c r="AB117" s="215">
        <f t="shared" si="136"/>
        <v>3878</v>
      </c>
      <c r="AC117" s="215">
        <f t="shared" si="136"/>
        <v>0</v>
      </c>
      <c r="AD117" s="215">
        <f t="shared" si="136"/>
        <v>0</v>
      </c>
      <c r="AE117" s="215">
        <f t="shared" si="136"/>
        <v>0</v>
      </c>
      <c r="AF117" s="215">
        <f t="shared" si="136"/>
        <v>3050</v>
      </c>
      <c r="AG117" s="215">
        <f t="shared" si="136"/>
        <v>4431.5</v>
      </c>
      <c r="AH117" s="215">
        <f t="shared" si="136"/>
        <v>4431.5</v>
      </c>
      <c r="AI117" s="215"/>
      <c r="AJ117" s="215"/>
      <c r="AK117" s="215">
        <f t="shared" ref="AK117:AY117" si="137">AK118+AK121+AK129</f>
        <v>21160</v>
      </c>
      <c r="AL117" s="215">
        <f t="shared" si="137"/>
        <v>21160</v>
      </c>
      <c r="AM117" s="215">
        <f t="shared" si="137"/>
        <v>0</v>
      </c>
      <c r="AN117" s="215">
        <f t="shared" si="137"/>
        <v>0</v>
      </c>
      <c r="AO117" s="215">
        <f t="shared" si="137"/>
        <v>23360</v>
      </c>
      <c r="AP117" s="215">
        <f t="shared" si="137"/>
        <v>23360</v>
      </c>
      <c r="AQ117" s="215">
        <f t="shared" si="137"/>
        <v>0</v>
      </c>
      <c r="AR117" s="215">
        <f t="shared" si="137"/>
        <v>0</v>
      </c>
      <c r="AS117" s="215">
        <f t="shared" si="137"/>
        <v>27413.5</v>
      </c>
      <c r="AT117" s="215">
        <f t="shared" si="137"/>
        <v>27791.5</v>
      </c>
      <c r="AU117" s="215">
        <f t="shared" si="137"/>
        <v>27791.5</v>
      </c>
      <c r="AV117" s="215">
        <f t="shared" si="137"/>
        <v>34671</v>
      </c>
      <c r="AW117" s="215">
        <f t="shared" si="137"/>
        <v>34671</v>
      </c>
      <c r="AX117" s="215">
        <f t="shared" si="137"/>
        <v>0</v>
      </c>
      <c r="AY117" s="215">
        <f t="shared" si="137"/>
        <v>0</v>
      </c>
      <c r="AZ117" s="265"/>
      <c r="BA117" s="232"/>
    </row>
    <row r="118" spans="1:53" s="251" customFormat="1" ht="38.1" customHeight="1">
      <c r="A118" s="227" t="s">
        <v>46</v>
      </c>
      <c r="B118" s="234" t="s">
        <v>897</v>
      </c>
      <c r="C118" s="309"/>
      <c r="D118" s="309"/>
      <c r="E118" s="309"/>
      <c r="F118" s="309"/>
      <c r="G118" s="229"/>
      <c r="H118" s="229"/>
      <c r="I118" s="231"/>
      <c r="J118" s="242">
        <f>J119</f>
        <v>7500</v>
      </c>
      <c r="K118" s="242">
        <f t="shared" ref="K118:AY119" si="138">K119</f>
        <v>7500</v>
      </c>
      <c r="L118" s="242">
        <f t="shared" si="138"/>
        <v>0</v>
      </c>
      <c r="M118" s="242">
        <f t="shared" si="138"/>
        <v>0</v>
      </c>
      <c r="N118" s="242">
        <f t="shared" si="138"/>
        <v>0</v>
      </c>
      <c r="O118" s="242">
        <f t="shared" si="138"/>
        <v>0</v>
      </c>
      <c r="P118" s="242">
        <f t="shared" si="138"/>
        <v>98</v>
      </c>
      <c r="Q118" s="242">
        <f t="shared" si="138"/>
        <v>98</v>
      </c>
      <c r="R118" s="242">
        <f t="shared" si="138"/>
        <v>7500</v>
      </c>
      <c r="S118" s="242">
        <f t="shared" si="138"/>
        <v>7500</v>
      </c>
      <c r="T118" s="242">
        <f t="shared" si="138"/>
        <v>0</v>
      </c>
      <c r="U118" s="242">
        <f t="shared" si="138"/>
        <v>0</v>
      </c>
      <c r="V118" s="242">
        <f t="shared" si="138"/>
        <v>3598</v>
      </c>
      <c r="W118" s="242">
        <f t="shared" si="138"/>
        <v>98</v>
      </c>
      <c r="X118" s="242">
        <f t="shared" si="138"/>
        <v>98</v>
      </c>
      <c r="Y118" s="242">
        <f t="shared" si="138"/>
        <v>0</v>
      </c>
      <c r="Z118" s="242">
        <f t="shared" si="138"/>
        <v>0</v>
      </c>
      <c r="AA118" s="242">
        <f t="shared" si="138"/>
        <v>3500</v>
      </c>
      <c r="AB118" s="242">
        <f t="shared" si="138"/>
        <v>3500</v>
      </c>
      <c r="AC118" s="242">
        <f t="shared" si="138"/>
        <v>0</v>
      </c>
      <c r="AD118" s="242">
        <f t="shared" si="138"/>
        <v>0</v>
      </c>
      <c r="AE118" s="242">
        <f t="shared" si="138"/>
        <v>0</v>
      </c>
      <c r="AF118" s="242">
        <f t="shared" si="138"/>
        <v>3050</v>
      </c>
      <c r="AG118" s="242">
        <f t="shared" si="138"/>
        <v>3598</v>
      </c>
      <c r="AH118" s="242">
        <f t="shared" si="138"/>
        <v>3598</v>
      </c>
      <c r="AI118" s="242"/>
      <c r="AJ118" s="242"/>
      <c r="AK118" s="242">
        <f t="shared" si="138"/>
        <v>2500</v>
      </c>
      <c r="AL118" s="242">
        <f t="shared" si="138"/>
        <v>2500</v>
      </c>
      <c r="AM118" s="242">
        <f t="shared" si="138"/>
        <v>0</v>
      </c>
      <c r="AN118" s="242">
        <f t="shared" si="138"/>
        <v>0</v>
      </c>
      <c r="AO118" s="242">
        <f t="shared" si="138"/>
        <v>2500</v>
      </c>
      <c r="AP118" s="242">
        <f t="shared" si="138"/>
        <v>2500</v>
      </c>
      <c r="AQ118" s="242">
        <f t="shared" si="138"/>
        <v>0</v>
      </c>
      <c r="AR118" s="242">
        <f t="shared" si="138"/>
        <v>0</v>
      </c>
      <c r="AS118" s="242">
        <f t="shared" si="138"/>
        <v>6098</v>
      </c>
      <c r="AT118" s="242">
        <f t="shared" si="138"/>
        <v>6098</v>
      </c>
      <c r="AU118" s="242">
        <f t="shared" si="138"/>
        <v>6098</v>
      </c>
      <c r="AV118" s="242">
        <f t="shared" si="138"/>
        <v>1402</v>
      </c>
      <c r="AW118" s="242">
        <f t="shared" si="138"/>
        <v>1402</v>
      </c>
      <c r="AX118" s="242">
        <f t="shared" si="138"/>
        <v>0</v>
      </c>
      <c r="AY118" s="242">
        <f t="shared" si="138"/>
        <v>0</v>
      </c>
      <c r="AZ118" s="265"/>
      <c r="BA118" s="232"/>
    </row>
    <row r="119" spans="1:53" s="251" customFormat="1" ht="32.25" customHeight="1">
      <c r="A119" s="275" t="s">
        <v>35</v>
      </c>
      <c r="B119" s="236" t="s">
        <v>45</v>
      </c>
      <c r="C119" s="309"/>
      <c r="D119" s="309"/>
      <c r="E119" s="309"/>
      <c r="F119" s="309"/>
      <c r="G119" s="229"/>
      <c r="H119" s="229"/>
      <c r="I119" s="231"/>
      <c r="J119" s="242">
        <f>J120</f>
        <v>7500</v>
      </c>
      <c r="K119" s="242">
        <f t="shared" si="138"/>
        <v>7500</v>
      </c>
      <c r="L119" s="242">
        <f t="shared" si="138"/>
        <v>0</v>
      </c>
      <c r="M119" s="242">
        <f t="shared" si="138"/>
        <v>0</v>
      </c>
      <c r="N119" s="242">
        <f t="shared" si="138"/>
        <v>0</v>
      </c>
      <c r="O119" s="242">
        <f t="shared" si="138"/>
        <v>0</v>
      </c>
      <c r="P119" s="242">
        <f t="shared" si="138"/>
        <v>98</v>
      </c>
      <c r="Q119" s="242">
        <f t="shared" si="138"/>
        <v>98</v>
      </c>
      <c r="R119" s="242">
        <f t="shared" si="138"/>
        <v>7500</v>
      </c>
      <c r="S119" s="242">
        <f t="shared" si="138"/>
        <v>7500</v>
      </c>
      <c r="T119" s="242">
        <f t="shared" si="138"/>
        <v>0</v>
      </c>
      <c r="U119" s="242">
        <f t="shared" si="138"/>
        <v>0</v>
      </c>
      <c r="V119" s="242">
        <f t="shared" si="138"/>
        <v>3598</v>
      </c>
      <c r="W119" s="242">
        <f t="shared" si="138"/>
        <v>98</v>
      </c>
      <c r="X119" s="242">
        <f t="shared" si="138"/>
        <v>98</v>
      </c>
      <c r="Y119" s="242">
        <f t="shared" si="138"/>
        <v>0</v>
      </c>
      <c r="Z119" s="242">
        <f t="shared" si="138"/>
        <v>0</v>
      </c>
      <c r="AA119" s="242">
        <f t="shared" si="138"/>
        <v>3500</v>
      </c>
      <c r="AB119" s="242">
        <f t="shared" si="138"/>
        <v>3500</v>
      </c>
      <c r="AC119" s="242">
        <f t="shared" si="138"/>
        <v>0</v>
      </c>
      <c r="AD119" s="242">
        <f t="shared" si="138"/>
        <v>0</v>
      </c>
      <c r="AE119" s="242">
        <f t="shared" si="138"/>
        <v>0</v>
      </c>
      <c r="AF119" s="242">
        <f t="shared" si="138"/>
        <v>3050</v>
      </c>
      <c r="AG119" s="242">
        <f t="shared" si="138"/>
        <v>3598</v>
      </c>
      <c r="AH119" s="242">
        <f t="shared" si="138"/>
        <v>3598</v>
      </c>
      <c r="AI119" s="242">
        <f t="shared" si="138"/>
        <v>0</v>
      </c>
      <c r="AJ119" s="242">
        <f t="shared" si="138"/>
        <v>0</v>
      </c>
      <c r="AK119" s="242">
        <f t="shared" si="138"/>
        <v>2500</v>
      </c>
      <c r="AL119" s="242">
        <f t="shared" si="138"/>
        <v>2500</v>
      </c>
      <c r="AM119" s="242">
        <f t="shared" si="138"/>
        <v>0</v>
      </c>
      <c r="AN119" s="242">
        <f t="shared" si="138"/>
        <v>0</v>
      </c>
      <c r="AO119" s="242">
        <f t="shared" si="138"/>
        <v>2500</v>
      </c>
      <c r="AP119" s="242">
        <f t="shared" si="138"/>
        <v>2500</v>
      </c>
      <c r="AQ119" s="242">
        <f t="shared" si="138"/>
        <v>0</v>
      </c>
      <c r="AR119" s="242">
        <f t="shared" si="138"/>
        <v>0</v>
      </c>
      <c r="AS119" s="242">
        <f t="shared" si="138"/>
        <v>6098</v>
      </c>
      <c r="AT119" s="242">
        <f t="shared" si="138"/>
        <v>6098</v>
      </c>
      <c r="AU119" s="242">
        <f t="shared" si="138"/>
        <v>6098</v>
      </c>
      <c r="AV119" s="242">
        <f t="shared" si="138"/>
        <v>1402</v>
      </c>
      <c r="AW119" s="242">
        <f t="shared" si="138"/>
        <v>1402</v>
      </c>
      <c r="AX119" s="242">
        <f t="shared" si="138"/>
        <v>0</v>
      </c>
      <c r="AY119" s="242">
        <f t="shared" si="138"/>
        <v>0</v>
      </c>
      <c r="AZ119" s="265"/>
      <c r="BA119" s="232"/>
    </row>
    <row r="120" spans="1:53" s="270" customFormat="1" ht="33.6" customHeight="1">
      <c r="A120" s="649">
        <v>1</v>
      </c>
      <c r="B120" s="267" t="s">
        <v>384</v>
      </c>
      <c r="C120" s="306" t="s">
        <v>383</v>
      </c>
      <c r="D120" s="306"/>
      <c r="E120" s="310" t="s">
        <v>816</v>
      </c>
      <c r="F120" s="306"/>
      <c r="G120" s="272"/>
      <c r="H120" s="490" t="s">
        <v>676</v>
      </c>
      <c r="I120" s="248" t="s">
        <v>668</v>
      </c>
      <c r="J120" s="273">
        <v>7500</v>
      </c>
      <c r="K120" s="273">
        <v>7500</v>
      </c>
      <c r="L120" s="212"/>
      <c r="M120" s="212"/>
      <c r="N120" s="212"/>
      <c r="O120" s="212"/>
      <c r="P120" s="212">
        <f>L120+W120</f>
        <v>98</v>
      </c>
      <c r="Q120" s="212">
        <f>M120+X120</f>
        <v>98</v>
      </c>
      <c r="R120" s="212">
        <f>S120</f>
        <v>7500</v>
      </c>
      <c r="S120" s="212">
        <v>7500</v>
      </c>
      <c r="T120" s="212"/>
      <c r="U120" s="212"/>
      <c r="V120" s="212">
        <f>98+3500</f>
        <v>3598</v>
      </c>
      <c r="W120" s="212">
        <v>98</v>
      </c>
      <c r="X120" s="212">
        <v>98</v>
      </c>
      <c r="Y120" s="212"/>
      <c r="Z120" s="212"/>
      <c r="AA120" s="212">
        <v>3500</v>
      </c>
      <c r="AB120" s="212">
        <v>3500</v>
      </c>
      <c r="AC120" s="273"/>
      <c r="AD120" s="212"/>
      <c r="AE120" s="273">
        <v>0</v>
      </c>
      <c r="AF120" s="273">
        <v>3050</v>
      </c>
      <c r="AG120" s="212">
        <f t="shared" ref="AG120:AG127" si="139">W120+AA120</f>
        <v>3598</v>
      </c>
      <c r="AH120" s="212">
        <f t="shared" ref="AH120:AH127" si="140">X120+AB120</f>
        <v>3598</v>
      </c>
      <c r="AI120" s="212"/>
      <c r="AJ120" s="212"/>
      <c r="AK120" s="212">
        <f t="shared" ref="AK120:AK127" si="141">AO120</f>
        <v>2500</v>
      </c>
      <c r="AL120" s="212">
        <f t="shared" ref="AL120:AL127" si="142">AP120</f>
        <v>2500</v>
      </c>
      <c r="AM120" s="212">
        <f t="shared" ref="AM120:AM127" si="143">AQ120</f>
        <v>0</v>
      </c>
      <c r="AN120" s="212">
        <f t="shared" ref="AN120" si="144">AR120</f>
        <v>0</v>
      </c>
      <c r="AO120" s="212">
        <f>AP120</f>
        <v>2500</v>
      </c>
      <c r="AP120" s="212">
        <v>2500</v>
      </c>
      <c r="AQ120" s="212"/>
      <c r="AR120" s="212"/>
      <c r="AS120" s="212">
        <f t="shared" ref="AS120" si="145">V120+AP120</f>
        <v>6098</v>
      </c>
      <c r="AT120" s="212">
        <f t="shared" ref="AT120" si="146">AU120</f>
        <v>6098</v>
      </c>
      <c r="AU120" s="212">
        <f t="shared" ref="AU120" si="147">AH120+AP120</f>
        <v>6098</v>
      </c>
      <c r="AV120" s="212">
        <f t="shared" ref="AV120" si="148">AW120</f>
        <v>1402</v>
      </c>
      <c r="AW120" s="212">
        <f t="shared" ref="AW120" si="149">S120-AU120</f>
        <v>1402</v>
      </c>
      <c r="AX120" s="212"/>
      <c r="AY120" s="212"/>
      <c r="AZ120" s="243" t="s">
        <v>783</v>
      </c>
      <c r="BA120" s="279"/>
    </row>
    <row r="121" spans="1:53" s="232" customFormat="1" ht="33.75" customHeight="1">
      <c r="A121" s="356" t="s">
        <v>278</v>
      </c>
      <c r="B121" s="280" t="s">
        <v>895</v>
      </c>
      <c r="C121" s="541"/>
      <c r="D121" s="541"/>
      <c r="E121" s="541"/>
      <c r="F121" s="541"/>
      <c r="G121" s="541"/>
      <c r="H121" s="541"/>
      <c r="I121" s="523"/>
      <c r="J121" s="525">
        <f>J122</f>
        <v>55400</v>
      </c>
      <c r="K121" s="525">
        <f t="shared" ref="K121:AY121" si="150">K122</f>
        <v>55400</v>
      </c>
      <c r="L121" s="525">
        <f t="shared" si="150"/>
        <v>0</v>
      </c>
      <c r="M121" s="525">
        <f t="shared" si="150"/>
        <v>0</v>
      </c>
      <c r="N121" s="525">
        <f t="shared" si="150"/>
        <v>0</v>
      </c>
      <c r="O121" s="525">
        <f t="shared" si="150"/>
        <v>0</v>
      </c>
      <c r="P121" s="525">
        <f t="shared" si="150"/>
        <v>455.5</v>
      </c>
      <c r="Q121" s="525">
        <f t="shared" si="150"/>
        <v>455.5</v>
      </c>
      <c r="R121" s="525">
        <f t="shared" si="150"/>
        <v>53300</v>
      </c>
      <c r="S121" s="525">
        <f t="shared" si="150"/>
        <v>53300</v>
      </c>
      <c r="T121" s="525">
        <f t="shared" si="150"/>
        <v>0</v>
      </c>
      <c r="U121" s="525">
        <f t="shared" si="150"/>
        <v>0</v>
      </c>
      <c r="V121" s="525">
        <f t="shared" si="150"/>
        <v>455.5</v>
      </c>
      <c r="W121" s="525">
        <f t="shared" si="150"/>
        <v>455.5</v>
      </c>
      <c r="X121" s="525">
        <f t="shared" si="150"/>
        <v>455.5</v>
      </c>
      <c r="Y121" s="525">
        <f t="shared" si="150"/>
        <v>0</v>
      </c>
      <c r="Z121" s="525">
        <f t="shared" si="150"/>
        <v>0</v>
      </c>
      <c r="AA121" s="525">
        <f t="shared" si="150"/>
        <v>378</v>
      </c>
      <c r="AB121" s="525">
        <f t="shared" si="150"/>
        <v>378</v>
      </c>
      <c r="AC121" s="525">
        <f t="shared" si="150"/>
        <v>0</v>
      </c>
      <c r="AD121" s="525">
        <f t="shared" si="150"/>
        <v>0</v>
      </c>
      <c r="AE121" s="525">
        <f t="shared" si="150"/>
        <v>0</v>
      </c>
      <c r="AF121" s="525">
        <f t="shared" si="150"/>
        <v>0</v>
      </c>
      <c r="AG121" s="525">
        <f t="shared" si="150"/>
        <v>833.5</v>
      </c>
      <c r="AH121" s="525">
        <f t="shared" si="150"/>
        <v>833.5</v>
      </c>
      <c r="AI121" s="525"/>
      <c r="AJ121" s="525"/>
      <c r="AK121" s="525">
        <f t="shared" si="150"/>
        <v>18400</v>
      </c>
      <c r="AL121" s="525">
        <f t="shared" si="150"/>
        <v>18400</v>
      </c>
      <c r="AM121" s="525">
        <f t="shared" si="150"/>
        <v>0</v>
      </c>
      <c r="AN121" s="525">
        <f t="shared" si="150"/>
        <v>0</v>
      </c>
      <c r="AO121" s="525">
        <f t="shared" si="150"/>
        <v>20500</v>
      </c>
      <c r="AP121" s="525">
        <f t="shared" si="150"/>
        <v>20500</v>
      </c>
      <c r="AQ121" s="525">
        <f t="shared" si="150"/>
        <v>0</v>
      </c>
      <c r="AR121" s="525">
        <f t="shared" si="150"/>
        <v>0</v>
      </c>
      <c r="AS121" s="242">
        <f t="shared" si="150"/>
        <v>20955.5</v>
      </c>
      <c r="AT121" s="242">
        <f t="shared" si="150"/>
        <v>21333.5</v>
      </c>
      <c r="AU121" s="242">
        <f t="shared" si="150"/>
        <v>21333.5</v>
      </c>
      <c r="AV121" s="242">
        <f t="shared" si="150"/>
        <v>22835</v>
      </c>
      <c r="AW121" s="242">
        <f t="shared" si="150"/>
        <v>22835</v>
      </c>
      <c r="AX121" s="242">
        <f t="shared" si="150"/>
        <v>0</v>
      </c>
      <c r="AY121" s="242">
        <f t="shared" si="150"/>
        <v>0</v>
      </c>
      <c r="AZ121" s="337"/>
    </row>
    <row r="122" spans="1:53" s="533" customFormat="1" ht="33.75" customHeight="1">
      <c r="A122" s="275" t="s">
        <v>35</v>
      </c>
      <c r="B122" s="236" t="s">
        <v>45</v>
      </c>
      <c r="C122" s="311"/>
      <c r="D122" s="311"/>
      <c r="E122" s="311"/>
      <c r="F122" s="311"/>
      <c r="G122" s="311"/>
      <c r="H122" s="311"/>
      <c r="I122" s="256"/>
      <c r="J122" s="300">
        <f>SUM(J123:J128)</f>
        <v>55400</v>
      </c>
      <c r="K122" s="300">
        <f t="shared" ref="K122:AH122" si="151">SUM(K123:K128)</f>
        <v>55400</v>
      </c>
      <c r="L122" s="300">
        <f t="shared" si="151"/>
        <v>0</v>
      </c>
      <c r="M122" s="300">
        <f t="shared" si="151"/>
        <v>0</v>
      </c>
      <c r="N122" s="300">
        <f t="shared" si="151"/>
        <v>0</v>
      </c>
      <c r="O122" s="300">
        <f t="shared" si="151"/>
        <v>0</v>
      </c>
      <c r="P122" s="300">
        <f t="shared" si="151"/>
        <v>455.5</v>
      </c>
      <c r="Q122" s="300">
        <f t="shared" si="151"/>
        <v>455.5</v>
      </c>
      <c r="R122" s="300">
        <f t="shared" si="151"/>
        <v>53300</v>
      </c>
      <c r="S122" s="300">
        <f t="shared" si="151"/>
        <v>53300</v>
      </c>
      <c r="T122" s="300">
        <f t="shared" si="151"/>
        <v>0</v>
      </c>
      <c r="U122" s="300">
        <f t="shared" si="151"/>
        <v>0</v>
      </c>
      <c r="V122" s="300">
        <f t="shared" ref="V122" si="152">SUM(V123:V128)</f>
        <v>455.5</v>
      </c>
      <c r="W122" s="300">
        <f t="shared" si="151"/>
        <v>455.5</v>
      </c>
      <c r="X122" s="300">
        <f t="shared" si="151"/>
        <v>455.5</v>
      </c>
      <c r="Y122" s="300">
        <f t="shared" si="151"/>
        <v>0</v>
      </c>
      <c r="Z122" s="300">
        <f t="shared" si="151"/>
        <v>0</v>
      </c>
      <c r="AA122" s="300">
        <f t="shared" si="151"/>
        <v>378</v>
      </c>
      <c r="AB122" s="300">
        <f t="shared" si="151"/>
        <v>378</v>
      </c>
      <c r="AC122" s="300">
        <f t="shared" si="151"/>
        <v>0</v>
      </c>
      <c r="AD122" s="300">
        <f t="shared" si="151"/>
        <v>0</v>
      </c>
      <c r="AE122" s="300">
        <f t="shared" si="151"/>
        <v>0</v>
      </c>
      <c r="AF122" s="300">
        <f t="shared" si="151"/>
        <v>0</v>
      </c>
      <c r="AG122" s="300">
        <f t="shared" si="151"/>
        <v>833.5</v>
      </c>
      <c r="AH122" s="300">
        <f t="shared" si="151"/>
        <v>833.5</v>
      </c>
      <c r="AI122" s="300"/>
      <c r="AJ122" s="300"/>
      <c r="AK122" s="300">
        <f t="shared" ref="AK122:AR122" si="153">SUM(AK123:AK128)</f>
        <v>18400</v>
      </c>
      <c r="AL122" s="300">
        <f t="shared" si="153"/>
        <v>18400</v>
      </c>
      <c r="AM122" s="300">
        <f t="shared" si="153"/>
        <v>0</v>
      </c>
      <c r="AN122" s="300">
        <f t="shared" si="153"/>
        <v>0</v>
      </c>
      <c r="AO122" s="300">
        <f t="shared" si="153"/>
        <v>20500</v>
      </c>
      <c r="AP122" s="300">
        <f t="shared" si="153"/>
        <v>20500</v>
      </c>
      <c r="AQ122" s="300">
        <f t="shared" si="153"/>
        <v>0</v>
      </c>
      <c r="AR122" s="300">
        <f t="shared" si="153"/>
        <v>0</v>
      </c>
      <c r="AS122" s="300">
        <f t="shared" ref="AS122:AY122" si="154">SUM(AS123:AS128)</f>
        <v>20955.5</v>
      </c>
      <c r="AT122" s="300">
        <f t="shared" si="154"/>
        <v>21333.5</v>
      </c>
      <c r="AU122" s="300">
        <f t="shared" si="154"/>
        <v>21333.5</v>
      </c>
      <c r="AV122" s="300">
        <f t="shared" si="154"/>
        <v>22835</v>
      </c>
      <c r="AW122" s="300">
        <f>SUM(AW123:AW128)</f>
        <v>22835</v>
      </c>
      <c r="AX122" s="300">
        <f t="shared" si="154"/>
        <v>0</v>
      </c>
      <c r="AY122" s="300">
        <f t="shared" si="154"/>
        <v>0</v>
      </c>
      <c r="AZ122" s="255"/>
    </row>
    <row r="123" spans="1:53" s="262" customFormat="1" ht="41.1" customHeight="1">
      <c r="A123" s="649">
        <v>1</v>
      </c>
      <c r="B123" s="289" t="s">
        <v>385</v>
      </c>
      <c r="C123" s="306" t="s">
        <v>383</v>
      </c>
      <c r="D123" s="306"/>
      <c r="E123" s="310" t="s">
        <v>816</v>
      </c>
      <c r="F123" s="306"/>
      <c r="G123" s="243"/>
      <c r="H123" s="490" t="s">
        <v>293</v>
      </c>
      <c r="I123" s="211" t="s">
        <v>386</v>
      </c>
      <c r="J123" s="212">
        <v>21000</v>
      </c>
      <c r="K123" s="212">
        <v>21000</v>
      </c>
      <c r="L123" s="212"/>
      <c r="M123" s="212"/>
      <c r="N123" s="212"/>
      <c r="O123" s="212"/>
      <c r="P123" s="212">
        <f t="shared" ref="P123:Q128" si="155">L123+W123</f>
        <v>0</v>
      </c>
      <c r="Q123" s="212">
        <f t="shared" si="155"/>
        <v>0</v>
      </c>
      <c r="R123" s="212">
        <v>18900</v>
      </c>
      <c r="S123" s="212">
        <v>18900</v>
      </c>
      <c r="T123" s="212"/>
      <c r="U123" s="212"/>
      <c r="V123" s="212"/>
      <c r="W123" s="212"/>
      <c r="X123" s="212"/>
      <c r="Y123" s="212"/>
      <c r="Z123" s="212"/>
      <c r="AA123" s="212">
        <v>378</v>
      </c>
      <c r="AB123" s="212">
        <v>378</v>
      </c>
      <c r="AC123" s="273"/>
      <c r="AD123" s="212"/>
      <c r="AE123" s="212"/>
      <c r="AF123" s="212"/>
      <c r="AG123" s="212">
        <f t="shared" si="139"/>
        <v>378</v>
      </c>
      <c r="AH123" s="212">
        <f t="shared" si="140"/>
        <v>378</v>
      </c>
      <c r="AI123" s="212"/>
      <c r="AJ123" s="212"/>
      <c r="AK123" s="212">
        <f t="shared" si="141"/>
        <v>6500</v>
      </c>
      <c r="AL123" s="212">
        <f t="shared" si="142"/>
        <v>6500</v>
      </c>
      <c r="AM123" s="212">
        <f t="shared" si="143"/>
        <v>0</v>
      </c>
      <c r="AN123" s="212"/>
      <c r="AO123" s="567">
        <f t="shared" ref="AO123:AO128" si="156">AP123</f>
        <v>6500</v>
      </c>
      <c r="AP123" s="212">
        <v>6500</v>
      </c>
      <c r="AQ123" s="212"/>
      <c r="AR123" s="212"/>
      <c r="AS123" s="212">
        <f t="shared" ref="AS123" si="157">V123+AP123</f>
        <v>6500</v>
      </c>
      <c r="AT123" s="212">
        <f t="shared" ref="AT123" si="158">AU123</f>
        <v>6878</v>
      </c>
      <c r="AU123" s="212">
        <f t="shared" ref="AU123" si="159">AH123+AP123</f>
        <v>6878</v>
      </c>
      <c r="AV123" s="212">
        <f t="shared" ref="AV123" si="160">AW123</f>
        <v>7500</v>
      </c>
      <c r="AW123" s="212">
        <v>7500</v>
      </c>
      <c r="AX123" s="212"/>
      <c r="AY123" s="212"/>
      <c r="AZ123" s="261"/>
      <c r="BA123" s="201">
        <f>AW123</f>
        <v>7500</v>
      </c>
    </row>
    <row r="124" spans="1:53" s="270" customFormat="1" ht="42.75" customHeight="1">
      <c r="A124" s="649">
        <v>3</v>
      </c>
      <c r="B124" s="267" t="s">
        <v>388</v>
      </c>
      <c r="C124" s="306" t="s">
        <v>383</v>
      </c>
      <c r="D124" s="306"/>
      <c r="E124" s="310" t="s">
        <v>816</v>
      </c>
      <c r="F124" s="306"/>
      <c r="G124" s="272"/>
      <c r="H124" s="490" t="s">
        <v>367</v>
      </c>
      <c r="I124" s="248" t="s">
        <v>389</v>
      </c>
      <c r="J124" s="212">
        <v>7300</v>
      </c>
      <c r="K124" s="212">
        <v>7300</v>
      </c>
      <c r="L124" s="212"/>
      <c r="M124" s="212"/>
      <c r="N124" s="212"/>
      <c r="O124" s="212"/>
      <c r="P124" s="212">
        <f t="shared" si="155"/>
        <v>97.5</v>
      </c>
      <c r="Q124" s="212">
        <f t="shared" si="155"/>
        <v>97.5</v>
      </c>
      <c r="R124" s="212">
        <f>S124</f>
        <v>7300</v>
      </c>
      <c r="S124" s="212">
        <v>7300</v>
      </c>
      <c r="T124" s="212"/>
      <c r="U124" s="212"/>
      <c r="V124" s="212">
        <f>W124</f>
        <v>97.5</v>
      </c>
      <c r="W124" s="212">
        <v>97.5</v>
      </c>
      <c r="X124" s="212">
        <v>97.5</v>
      </c>
      <c r="Y124" s="212"/>
      <c r="Z124" s="212"/>
      <c r="AA124" s="212"/>
      <c r="AB124" s="212"/>
      <c r="AC124" s="273"/>
      <c r="AD124" s="212"/>
      <c r="AE124" s="212"/>
      <c r="AF124" s="212"/>
      <c r="AG124" s="212">
        <f t="shared" si="139"/>
        <v>97.5</v>
      </c>
      <c r="AH124" s="212">
        <f t="shared" si="140"/>
        <v>97.5</v>
      </c>
      <c r="AI124" s="212"/>
      <c r="AJ124" s="212"/>
      <c r="AK124" s="212">
        <f>AL124</f>
        <v>2500</v>
      </c>
      <c r="AL124" s="212">
        <v>2500</v>
      </c>
      <c r="AM124" s="212">
        <f t="shared" si="143"/>
        <v>0</v>
      </c>
      <c r="AN124" s="212"/>
      <c r="AO124" s="212">
        <f t="shared" si="156"/>
        <v>2800</v>
      </c>
      <c r="AP124" s="212">
        <v>2800</v>
      </c>
      <c r="AQ124" s="212"/>
      <c r="AR124" s="212" t="s">
        <v>311</v>
      </c>
      <c r="AS124" s="212">
        <f t="shared" ref="AS124:AS128" si="161">V124+AP124</f>
        <v>2897.5</v>
      </c>
      <c r="AT124" s="212">
        <f t="shared" ref="AT124:AT128" si="162">AU124</f>
        <v>2897.5</v>
      </c>
      <c r="AU124" s="212">
        <f t="shared" ref="AU124:AU128" si="163">AH124+AP124</f>
        <v>2897.5</v>
      </c>
      <c r="AV124" s="212">
        <f t="shared" ref="AV124:AV128" si="164">AW124</f>
        <v>4000</v>
      </c>
      <c r="AW124" s="212">
        <v>4000</v>
      </c>
      <c r="AX124" s="212"/>
      <c r="AY124" s="212"/>
      <c r="AZ124" s="261"/>
      <c r="BA124" s="279"/>
    </row>
    <row r="125" spans="1:53" s="270" customFormat="1" ht="44.25" customHeight="1">
      <c r="A125" s="649">
        <v>4</v>
      </c>
      <c r="B125" s="491" t="s">
        <v>390</v>
      </c>
      <c r="C125" s="306" t="s">
        <v>383</v>
      </c>
      <c r="D125" s="306"/>
      <c r="E125" s="310" t="s">
        <v>816</v>
      </c>
      <c r="F125" s="306"/>
      <c r="G125" s="272"/>
      <c r="H125" s="490" t="s">
        <v>367</v>
      </c>
      <c r="I125" s="248" t="s">
        <v>391</v>
      </c>
      <c r="J125" s="212">
        <v>7300</v>
      </c>
      <c r="K125" s="212">
        <v>7300</v>
      </c>
      <c r="L125" s="212"/>
      <c r="M125" s="212"/>
      <c r="N125" s="212"/>
      <c r="O125" s="212"/>
      <c r="P125" s="212">
        <f t="shared" si="155"/>
        <v>98</v>
      </c>
      <c r="Q125" s="212">
        <f t="shared" si="155"/>
        <v>98</v>
      </c>
      <c r="R125" s="212">
        <f>S125</f>
        <v>7300</v>
      </c>
      <c r="S125" s="212">
        <v>7300</v>
      </c>
      <c r="T125" s="212"/>
      <c r="U125" s="212"/>
      <c r="V125" s="212">
        <f t="shared" ref="V125:V128" si="165">W125</f>
        <v>98</v>
      </c>
      <c r="W125" s="212">
        <v>98</v>
      </c>
      <c r="X125" s="212">
        <v>98</v>
      </c>
      <c r="Y125" s="212"/>
      <c r="Z125" s="212"/>
      <c r="AA125" s="212"/>
      <c r="AB125" s="212"/>
      <c r="AC125" s="212"/>
      <c r="AD125" s="212"/>
      <c r="AE125" s="212"/>
      <c r="AF125" s="212"/>
      <c r="AG125" s="212">
        <f t="shared" si="139"/>
        <v>98</v>
      </c>
      <c r="AH125" s="212">
        <f t="shared" si="140"/>
        <v>98</v>
      </c>
      <c r="AI125" s="212"/>
      <c r="AJ125" s="212"/>
      <c r="AK125" s="212">
        <f>AL125</f>
        <v>2500</v>
      </c>
      <c r="AL125" s="212">
        <v>2500</v>
      </c>
      <c r="AM125" s="212">
        <f t="shared" si="143"/>
        <v>0</v>
      </c>
      <c r="AN125" s="212"/>
      <c r="AO125" s="212">
        <f t="shared" si="156"/>
        <v>2800</v>
      </c>
      <c r="AP125" s="212">
        <v>2800</v>
      </c>
      <c r="AQ125" s="212"/>
      <c r="AR125" s="212"/>
      <c r="AS125" s="212">
        <f t="shared" si="161"/>
        <v>2898</v>
      </c>
      <c r="AT125" s="212">
        <f t="shared" si="162"/>
        <v>2898</v>
      </c>
      <c r="AU125" s="212">
        <f t="shared" si="163"/>
        <v>2898</v>
      </c>
      <c r="AV125" s="212">
        <f t="shared" si="164"/>
        <v>4200</v>
      </c>
      <c r="AW125" s="212">
        <v>4200</v>
      </c>
      <c r="AX125" s="212"/>
      <c r="AY125" s="212"/>
      <c r="AZ125" s="261"/>
      <c r="BA125" s="279"/>
    </row>
    <row r="126" spans="1:53" s="270" customFormat="1" ht="44.25" customHeight="1">
      <c r="A126" s="649">
        <v>5</v>
      </c>
      <c r="B126" s="267" t="s">
        <v>392</v>
      </c>
      <c r="C126" s="306" t="s">
        <v>383</v>
      </c>
      <c r="D126" s="306"/>
      <c r="E126" s="310" t="s">
        <v>816</v>
      </c>
      <c r="F126" s="306"/>
      <c r="G126" s="272"/>
      <c r="H126" s="490" t="s">
        <v>367</v>
      </c>
      <c r="I126" s="248" t="s">
        <v>393</v>
      </c>
      <c r="J126" s="212">
        <v>7500</v>
      </c>
      <c r="K126" s="212">
        <v>7500</v>
      </c>
      <c r="L126" s="212"/>
      <c r="M126" s="212"/>
      <c r="N126" s="212"/>
      <c r="O126" s="212"/>
      <c r="P126" s="212">
        <f t="shared" si="155"/>
        <v>97.5</v>
      </c>
      <c r="Q126" s="212">
        <f t="shared" si="155"/>
        <v>97.5</v>
      </c>
      <c r="R126" s="212">
        <f>S126</f>
        <v>7500</v>
      </c>
      <c r="S126" s="212">
        <v>7500</v>
      </c>
      <c r="T126" s="212"/>
      <c r="U126" s="212"/>
      <c r="V126" s="212">
        <f t="shared" si="165"/>
        <v>97.5</v>
      </c>
      <c r="W126" s="212">
        <v>97.5</v>
      </c>
      <c r="X126" s="212">
        <v>97.5</v>
      </c>
      <c r="Y126" s="212"/>
      <c r="Z126" s="212"/>
      <c r="AA126" s="212"/>
      <c r="AB126" s="212"/>
      <c r="AC126" s="212"/>
      <c r="AD126" s="212"/>
      <c r="AE126" s="212"/>
      <c r="AF126" s="212"/>
      <c r="AG126" s="212">
        <f t="shared" si="139"/>
        <v>97.5</v>
      </c>
      <c r="AH126" s="212">
        <f t="shared" si="140"/>
        <v>97.5</v>
      </c>
      <c r="AI126" s="212"/>
      <c r="AJ126" s="212"/>
      <c r="AK126" s="212">
        <f t="shared" si="141"/>
        <v>2800</v>
      </c>
      <c r="AL126" s="212">
        <f t="shared" si="142"/>
        <v>2800</v>
      </c>
      <c r="AM126" s="212">
        <f t="shared" si="143"/>
        <v>0</v>
      </c>
      <c r="AN126" s="212"/>
      <c r="AO126" s="212">
        <f t="shared" si="156"/>
        <v>2800</v>
      </c>
      <c r="AP126" s="212">
        <v>2800</v>
      </c>
      <c r="AQ126" s="212"/>
      <c r="AR126" s="212"/>
      <c r="AS126" s="212">
        <f t="shared" si="161"/>
        <v>2897.5</v>
      </c>
      <c r="AT126" s="212">
        <f t="shared" si="162"/>
        <v>2897.5</v>
      </c>
      <c r="AU126" s="212">
        <f t="shared" si="163"/>
        <v>2897.5</v>
      </c>
      <c r="AV126" s="212">
        <f t="shared" si="164"/>
        <v>2500</v>
      </c>
      <c r="AW126" s="212">
        <v>2500</v>
      </c>
      <c r="AX126" s="212"/>
      <c r="AY126" s="212"/>
      <c r="AZ126" s="261"/>
      <c r="BA126" s="279"/>
    </row>
    <row r="127" spans="1:53" s="270" customFormat="1" ht="38.25" customHeight="1">
      <c r="A127" s="649">
        <v>6</v>
      </c>
      <c r="B127" s="267" t="s">
        <v>394</v>
      </c>
      <c r="C127" s="306" t="s">
        <v>383</v>
      </c>
      <c r="D127" s="306"/>
      <c r="E127" s="310" t="s">
        <v>816</v>
      </c>
      <c r="F127" s="306"/>
      <c r="G127" s="272"/>
      <c r="H127" s="490" t="s">
        <v>367</v>
      </c>
      <c r="I127" s="248" t="s">
        <v>395</v>
      </c>
      <c r="J127" s="212">
        <v>7300</v>
      </c>
      <c r="K127" s="212">
        <v>7300</v>
      </c>
      <c r="L127" s="212"/>
      <c r="M127" s="212"/>
      <c r="N127" s="212"/>
      <c r="O127" s="212"/>
      <c r="P127" s="212">
        <f t="shared" si="155"/>
        <v>97.5</v>
      </c>
      <c r="Q127" s="212">
        <f t="shared" si="155"/>
        <v>97.5</v>
      </c>
      <c r="R127" s="212">
        <f>S127</f>
        <v>7300</v>
      </c>
      <c r="S127" s="212">
        <v>7300</v>
      </c>
      <c r="T127" s="212"/>
      <c r="U127" s="212"/>
      <c r="V127" s="212">
        <f t="shared" si="165"/>
        <v>97.5</v>
      </c>
      <c r="W127" s="212">
        <v>97.5</v>
      </c>
      <c r="X127" s="212">
        <v>97.5</v>
      </c>
      <c r="Y127" s="212"/>
      <c r="Z127" s="212"/>
      <c r="AA127" s="212"/>
      <c r="AB127" s="212"/>
      <c r="AC127" s="212"/>
      <c r="AD127" s="212"/>
      <c r="AE127" s="212"/>
      <c r="AF127" s="212"/>
      <c r="AG127" s="212">
        <f t="shared" si="139"/>
        <v>97.5</v>
      </c>
      <c r="AH127" s="212">
        <f t="shared" si="140"/>
        <v>97.5</v>
      </c>
      <c r="AI127" s="212"/>
      <c r="AJ127" s="212"/>
      <c r="AK127" s="212">
        <f t="shared" si="141"/>
        <v>2800</v>
      </c>
      <c r="AL127" s="212">
        <f t="shared" si="142"/>
        <v>2800</v>
      </c>
      <c r="AM127" s="212">
        <f t="shared" si="143"/>
        <v>0</v>
      </c>
      <c r="AN127" s="212"/>
      <c r="AO127" s="212">
        <f t="shared" si="156"/>
        <v>2800</v>
      </c>
      <c r="AP127" s="212">
        <v>2800</v>
      </c>
      <c r="AQ127" s="212"/>
      <c r="AR127" s="212"/>
      <c r="AS127" s="212">
        <f t="shared" si="161"/>
        <v>2897.5</v>
      </c>
      <c r="AT127" s="212">
        <f t="shared" si="162"/>
        <v>2897.5</v>
      </c>
      <c r="AU127" s="212">
        <f t="shared" si="163"/>
        <v>2897.5</v>
      </c>
      <c r="AV127" s="212">
        <f t="shared" si="164"/>
        <v>2500</v>
      </c>
      <c r="AW127" s="212">
        <v>2500</v>
      </c>
      <c r="AX127" s="212"/>
      <c r="AY127" s="212"/>
      <c r="AZ127" s="261"/>
      <c r="BA127" s="279"/>
    </row>
    <row r="128" spans="1:53" s="270" customFormat="1" ht="40.5" customHeight="1">
      <c r="A128" s="649">
        <v>7</v>
      </c>
      <c r="B128" s="271" t="s">
        <v>387</v>
      </c>
      <c r="C128" s="306" t="s">
        <v>383</v>
      </c>
      <c r="D128" s="306"/>
      <c r="E128" s="310" t="s">
        <v>816</v>
      </c>
      <c r="F128" s="306"/>
      <c r="G128" s="272"/>
      <c r="H128" s="243" t="s">
        <v>367</v>
      </c>
      <c r="I128" s="261" t="s">
        <v>785</v>
      </c>
      <c r="J128" s="489">
        <v>5000</v>
      </c>
      <c r="K128" s="489">
        <v>5000</v>
      </c>
      <c r="L128" s="212"/>
      <c r="M128" s="212"/>
      <c r="N128" s="212"/>
      <c r="O128" s="212"/>
      <c r="P128" s="212">
        <f t="shared" si="155"/>
        <v>65</v>
      </c>
      <c r="Q128" s="212">
        <f t="shared" si="155"/>
        <v>65</v>
      </c>
      <c r="R128" s="212">
        <v>5000</v>
      </c>
      <c r="S128" s="212">
        <f>R128</f>
        <v>5000</v>
      </c>
      <c r="T128" s="212"/>
      <c r="U128" s="212"/>
      <c r="V128" s="212">
        <f t="shared" si="165"/>
        <v>65</v>
      </c>
      <c r="W128" s="212">
        <v>65</v>
      </c>
      <c r="X128" s="212">
        <v>65</v>
      </c>
      <c r="Y128" s="212"/>
      <c r="Z128" s="212"/>
      <c r="AA128" s="212"/>
      <c r="AB128" s="212"/>
      <c r="AC128" s="212"/>
      <c r="AD128" s="212"/>
      <c r="AE128" s="212"/>
      <c r="AF128" s="212"/>
      <c r="AG128" s="212">
        <f>W128+AA128</f>
        <v>65</v>
      </c>
      <c r="AH128" s="212">
        <f>X128+AB128</f>
        <v>65</v>
      </c>
      <c r="AI128" s="212"/>
      <c r="AJ128" s="212"/>
      <c r="AK128" s="212">
        <v>1300</v>
      </c>
      <c r="AL128" s="212">
        <v>1300</v>
      </c>
      <c r="AM128" s="212">
        <f>AQ128</f>
        <v>0</v>
      </c>
      <c r="AN128" s="212"/>
      <c r="AO128" s="212">
        <f t="shared" si="156"/>
        <v>2800</v>
      </c>
      <c r="AP128" s="212">
        <v>2800</v>
      </c>
      <c r="AQ128" s="212"/>
      <c r="AR128" s="212"/>
      <c r="AS128" s="212">
        <f t="shared" si="161"/>
        <v>2865</v>
      </c>
      <c r="AT128" s="212">
        <f t="shared" si="162"/>
        <v>2865</v>
      </c>
      <c r="AU128" s="212">
        <f t="shared" si="163"/>
        <v>2865</v>
      </c>
      <c r="AV128" s="212">
        <f t="shared" si="164"/>
        <v>2135</v>
      </c>
      <c r="AW128" s="212">
        <f t="shared" ref="AW128" si="166">S128-AU128</f>
        <v>2135</v>
      </c>
      <c r="AX128" s="212"/>
      <c r="AY128" s="212"/>
      <c r="AZ128" s="261"/>
      <c r="BA128" s="279"/>
    </row>
    <row r="129" spans="1:53" s="257" customFormat="1" ht="39" customHeight="1">
      <c r="A129" s="263" t="s">
        <v>279</v>
      </c>
      <c r="B129" s="253" t="s">
        <v>898</v>
      </c>
      <c r="C129" s="309"/>
      <c r="D129" s="309"/>
      <c r="E129" s="309"/>
      <c r="F129" s="309"/>
      <c r="G129" s="255"/>
      <c r="H129" s="255"/>
      <c r="I129" s="231"/>
      <c r="J129" s="215">
        <f>J130</f>
        <v>30500</v>
      </c>
      <c r="K129" s="215">
        <f t="shared" ref="K129:AX129" si="167">K130</f>
        <v>25841</v>
      </c>
      <c r="L129" s="215">
        <f t="shared" si="167"/>
        <v>0</v>
      </c>
      <c r="M129" s="215">
        <f t="shared" si="167"/>
        <v>0</v>
      </c>
      <c r="N129" s="215">
        <f t="shared" si="167"/>
        <v>0</v>
      </c>
      <c r="O129" s="215">
        <f t="shared" si="167"/>
        <v>0</v>
      </c>
      <c r="P129" s="215">
        <f t="shared" si="167"/>
        <v>0</v>
      </c>
      <c r="Q129" s="215">
        <f t="shared" si="167"/>
        <v>0</v>
      </c>
      <c r="R129" s="215">
        <f t="shared" si="167"/>
        <v>28564</v>
      </c>
      <c r="S129" s="215">
        <f t="shared" si="167"/>
        <v>23905</v>
      </c>
      <c r="T129" s="215">
        <f t="shared" si="167"/>
        <v>0</v>
      </c>
      <c r="U129" s="215">
        <f t="shared" si="167"/>
        <v>0</v>
      </c>
      <c r="V129" s="215"/>
      <c r="W129" s="215">
        <f t="shared" si="167"/>
        <v>0</v>
      </c>
      <c r="X129" s="215">
        <f t="shared" si="167"/>
        <v>0</v>
      </c>
      <c r="Y129" s="215">
        <f t="shared" si="167"/>
        <v>0</v>
      </c>
      <c r="Z129" s="215">
        <f t="shared" si="167"/>
        <v>0</v>
      </c>
      <c r="AA129" s="215">
        <f t="shared" si="167"/>
        <v>0</v>
      </c>
      <c r="AB129" s="215">
        <f t="shared" si="167"/>
        <v>0</v>
      </c>
      <c r="AC129" s="215">
        <f t="shared" si="167"/>
        <v>0</v>
      </c>
      <c r="AD129" s="215">
        <f t="shared" si="167"/>
        <v>0</v>
      </c>
      <c r="AE129" s="215">
        <f t="shared" si="167"/>
        <v>0</v>
      </c>
      <c r="AF129" s="215">
        <f t="shared" si="167"/>
        <v>0</v>
      </c>
      <c r="AG129" s="215">
        <f t="shared" si="167"/>
        <v>0</v>
      </c>
      <c r="AH129" s="215">
        <f t="shared" si="167"/>
        <v>0</v>
      </c>
      <c r="AI129" s="215"/>
      <c r="AJ129" s="215"/>
      <c r="AK129" s="215">
        <f t="shared" si="167"/>
        <v>260</v>
      </c>
      <c r="AL129" s="215">
        <f t="shared" si="167"/>
        <v>260</v>
      </c>
      <c r="AM129" s="215">
        <f t="shared" si="167"/>
        <v>0</v>
      </c>
      <c r="AN129" s="215">
        <f t="shared" si="167"/>
        <v>0</v>
      </c>
      <c r="AO129" s="215">
        <f t="shared" si="167"/>
        <v>360</v>
      </c>
      <c r="AP129" s="215">
        <f t="shared" si="167"/>
        <v>360</v>
      </c>
      <c r="AQ129" s="215"/>
      <c r="AR129" s="215">
        <f t="shared" si="167"/>
        <v>0</v>
      </c>
      <c r="AS129" s="215">
        <f t="shared" si="167"/>
        <v>360</v>
      </c>
      <c r="AT129" s="215">
        <f t="shared" si="167"/>
        <v>360</v>
      </c>
      <c r="AU129" s="215">
        <f t="shared" si="167"/>
        <v>360</v>
      </c>
      <c r="AV129" s="215">
        <f t="shared" si="167"/>
        <v>10434</v>
      </c>
      <c r="AW129" s="215">
        <f t="shared" si="167"/>
        <v>10434</v>
      </c>
      <c r="AX129" s="215">
        <f t="shared" si="167"/>
        <v>0</v>
      </c>
      <c r="AY129" s="215"/>
      <c r="AZ129" s="255"/>
      <c r="BA129" s="533"/>
    </row>
    <row r="130" spans="1:53" s="257" customFormat="1" ht="30.75" customHeight="1">
      <c r="A130" s="275" t="s">
        <v>35</v>
      </c>
      <c r="B130" s="236" t="s">
        <v>45</v>
      </c>
      <c r="C130" s="309"/>
      <c r="D130" s="309"/>
      <c r="E130" s="309"/>
      <c r="F130" s="309"/>
      <c r="G130" s="255"/>
      <c r="H130" s="255"/>
      <c r="I130" s="231"/>
      <c r="J130" s="215">
        <f>SUM(J131:J134)</f>
        <v>30500</v>
      </c>
      <c r="K130" s="215">
        <f t="shared" ref="K130:AY130" si="168">SUM(K131:K134)</f>
        <v>25841</v>
      </c>
      <c r="L130" s="215">
        <f t="shared" si="168"/>
        <v>0</v>
      </c>
      <c r="M130" s="215">
        <f t="shared" si="168"/>
        <v>0</v>
      </c>
      <c r="N130" s="215">
        <f t="shared" si="168"/>
        <v>0</v>
      </c>
      <c r="O130" s="215">
        <f t="shared" si="168"/>
        <v>0</v>
      </c>
      <c r="P130" s="215">
        <f t="shared" si="168"/>
        <v>0</v>
      </c>
      <c r="Q130" s="215">
        <f t="shared" si="168"/>
        <v>0</v>
      </c>
      <c r="R130" s="215">
        <f t="shared" si="168"/>
        <v>28564</v>
      </c>
      <c r="S130" s="215">
        <f t="shared" si="168"/>
        <v>23905</v>
      </c>
      <c r="T130" s="215">
        <f t="shared" si="168"/>
        <v>0</v>
      </c>
      <c r="U130" s="215">
        <f t="shared" si="168"/>
        <v>0</v>
      </c>
      <c r="V130" s="215">
        <f t="shared" si="168"/>
        <v>0</v>
      </c>
      <c r="W130" s="215">
        <f t="shared" si="168"/>
        <v>0</v>
      </c>
      <c r="X130" s="215">
        <f t="shared" si="168"/>
        <v>0</v>
      </c>
      <c r="Y130" s="215">
        <f t="shared" si="168"/>
        <v>0</v>
      </c>
      <c r="Z130" s="215">
        <f t="shared" si="168"/>
        <v>0</v>
      </c>
      <c r="AA130" s="215">
        <f t="shared" si="168"/>
        <v>0</v>
      </c>
      <c r="AB130" s="215">
        <f t="shared" si="168"/>
        <v>0</v>
      </c>
      <c r="AC130" s="215">
        <f t="shared" si="168"/>
        <v>0</v>
      </c>
      <c r="AD130" s="215">
        <f t="shared" si="168"/>
        <v>0</v>
      </c>
      <c r="AE130" s="215">
        <f t="shared" si="168"/>
        <v>0</v>
      </c>
      <c r="AF130" s="215">
        <f t="shared" si="168"/>
        <v>0</v>
      </c>
      <c r="AG130" s="215">
        <f t="shared" si="168"/>
        <v>0</v>
      </c>
      <c r="AH130" s="215">
        <f t="shared" si="168"/>
        <v>0</v>
      </c>
      <c r="AI130" s="215">
        <f t="shared" si="168"/>
        <v>0</v>
      </c>
      <c r="AJ130" s="215">
        <f t="shared" si="168"/>
        <v>0</v>
      </c>
      <c r="AK130" s="215">
        <f t="shared" si="168"/>
        <v>260</v>
      </c>
      <c r="AL130" s="215">
        <f t="shared" si="168"/>
        <v>260</v>
      </c>
      <c r="AM130" s="215">
        <f t="shared" si="168"/>
        <v>0</v>
      </c>
      <c r="AN130" s="215">
        <f t="shared" si="168"/>
        <v>0</v>
      </c>
      <c r="AO130" s="215">
        <f t="shared" si="168"/>
        <v>360</v>
      </c>
      <c r="AP130" s="215">
        <f t="shared" si="168"/>
        <v>360</v>
      </c>
      <c r="AQ130" s="215">
        <f t="shared" si="168"/>
        <v>0</v>
      </c>
      <c r="AR130" s="215">
        <f t="shared" si="168"/>
        <v>0</v>
      </c>
      <c r="AS130" s="215">
        <f t="shared" si="168"/>
        <v>360</v>
      </c>
      <c r="AT130" s="215">
        <f t="shared" si="168"/>
        <v>360</v>
      </c>
      <c r="AU130" s="215">
        <f t="shared" si="168"/>
        <v>360</v>
      </c>
      <c r="AV130" s="215">
        <f t="shared" si="168"/>
        <v>10434</v>
      </c>
      <c r="AW130" s="215">
        <f t="shared" si="168"/>
        <v>10434</v>
      </c>
      <c r="AX130" s="215">
        <f t="shared" si="168"/>
        <v>0</v>
      </c>
      <c r="AY130" s="215">
        <f t="shared" si="168"/>
        <v>0</v>
      </c>
      <c r="AZ130" s="255"/>
      <c r="BA130" s="533"/>
    </row>
    <row r="131" spans="1:53" s="533" customFormat="1" ht="42" customHeight="1">
      <c r="A131" s="536" t="s">
        <v>37</v>
      </c>
      <c r="B131" s="535" t="s">
        <v>397</v>
      </c>
      <c r="C131" s="531"/>
      <c r="D131" s="531"/>
      <c r="E131" s="310" t="s">
        <v>816</v>
      </c>
      <c r="F131" s="531"/>
      <c r="G131" s="243" t="s">
        <v>1024</v>
      </c>
      <c r="H131" s="243" t="s">
        <v>367</v>
      </c>
      <c r="I131" s="261" t="s">
        <v>979</v>
      </c>
      <c r="J131" s="354">
        <f>K131</f>
        <v>6500</v>
      </c>
      <c r="K131" s="354">
        <v>6500</v>
      </c>
      <c r="L131" s="355"/>
      <c r="M131" s="355"/>
      <c r="N131" s="355"/>
      <c r="O131" s="355"/>
      <c r="P131" s="355"/>
      <c r="Q131" s="355"/>
      <c r="R131" s="354">
        <f>S131</f>
        <v>4564</v>
      </c>
      <c r="S131" s="354">
        <v>4564</v>
      </c>
      <c r="T131" s="355"/>
      <c r="U131" s="355"/>
      <c r="V131" s="215"/>
      <c r="W131" s="215"/>
      <c r="X131" s="215"/>
      <c r="Y131" s="215"/>
      <c r="Z131" s="215"/>
      <c r="AA131" s="215"/>
      <c r="AB131" s="215"/>
      <c r="AC131" s="215"/>
      <c r="AD131" s="215"/>
      <c r="AE131" s="215"/>
      <c r="AF131" s="215"/>
      <c r="AG131" s="215"/>
      <c r="AH131" s="215"/>
      <c r="AI131" s="215"/>
      <c r="AJ131" s="215"/>
      <c r="AK131" s="215"/>
      <c r="AL131" s="215"/>
      <c r="AM131" s="215"/>
      <c r="AN131" s="215"/>
      <c r="AO131" s="212">
        <f>AP131</f>
        <v>100</v>
      </c>
      <c r="AP131" s="212">
        <v>100</v>
      </c>
      <c r="AQ131" s="215"/>
      <c r="AR131" s="215"/>
      <c r="AS131" s="212">
        <v>100</v>
      </c>
      <c r="AT131" s="212">
        <f>+AU131</f>
        <v>100</v>
      </c>
      <c r="AU131" s="212">
        <v>100</v>
      </c>
      <c r="AV131" s="212">
        <f>AW131</f>
        <v>2900</v>
      </c>
      <c r="AW131" s="212">
        <v>2900</v>
      </c>
      <c r="AX131" s="212"/>
      <c r="AY131" s="212"/>
      <c r="AZ131" s="243" t="s">
        <v>907</v>
      </c>
      <c r="BA131" s="533">
        <f>AW131</f>
        <v>2900</v>
      </c>
    </row>
    <row r="132" spans="1:53" s="270" customFormat="1" ht="39" customHeight="1">
      <c r="A132" s="649">
        <v>2</v>
      </c>
      <c r="B132" s="289" t="s">
        <v>398</v>
      </c>
      <c r="C132" s="306"/>
      <c r="D132" s="306"/>
      <c r="E132" s="310" t="s">
        <v>816</v>
      </c>
      <c r="F132" s="306"/>
      <c r="G132" s="243" t="s">
        <v>1025</v>
      </c>
      <c r="H132" s="243" t="s">
        <v>966</v>
      </c>
      <c r="I132" s="261" t="s">
        <v>980</v>
      </c>
      <c r="J132" s="212">
        <f>+K132</f>
        <v>8000</v>
      </c>
      <c r="K132" s="212">
        <v>8000</v>
      </c>
      <c r="L132" s="212"/>
      <c r="M132" s="212"/>
      <c r="N132" s="212"/>
      <c r="O132" s="212"/>
      <c r="P132" s="212">
        <f t="shared" ref="P132" si="169">L132+W132</f>
        <v>0</v>
      </c>
      <c r="Q132" s="212">
        <f t="shared" ref="Q132" si="170">M132+X132</f>
        <v>0</v>
      </c>
      <c r="R132" s="212">
        <v>8000</v>
      </c>
      <c r="S132" s="212">
        <v>8000</v>
      </c>
      <c r="T132" s="212"/>
      <c r="U132" s="212"/>
      <c r="V132" s="212"/>
      <c r="W132" s="212"/>
      <c r="X132" s="212"/>
      <c r="Y132" s="212"/>
      <c r="Z132" s="212"/>
      <c r="AA132" s="212"/>
      <c r="AB132" s="212"/>
      <c r="AC132" s="212"/>
      <c r="AD132" s="212"/>
      <c r="AE132" s="212"/>
      <c r="AF132" s="212"/>
      <c r="AG132" s="212">
        <f t="shared" ref="AG132" si="171">W132+AA132</f>
        <v>0</v>
      </c>
      <c r="AH132" s="212">
        <f t="shared" ref="AH132" si="172">X132+AB132</f>
        <v>0</v>
      </c>
      <c r="AI132" s="212"/>
      <c r="AJ132" s="212"/>
      <c r="AK132" s="212">
        <f>AL132</f>
        <v>100</v>
      </c>
      <c r="AL132" s="212">
        <v>100</v>
      </c>
      <c r="AM132" s="212">
        <f t="shared" ref="AM132" si="173">AQ132</f>
        <v>0</v>
      </c>
      <c r="AN132" s="212"/>
      <c r="AO132" s="212">
        <f>AP132</f>
        <v>100</v>
      </c>
      <c r="AP132" s="212">
        <v>100</v>
      </c>
      <c r="AQ132" s="212"/>
      <c r="AR132" s="212"/>
      <c r="AS132" s="212">
        <v>100</v>
      </c>
      <c r="AT132" s="212">
        <f t="shared" ref="AT132:AT134" si="174">+AU132</f>
        <v>100</v>
      </c>
      <c r="AU132" s="212">
        <v>100</v>
      </c>
      <c r="AV132" s="212">
        <f>AW132</f>
        <v>3034</v>
      </c>
      <c r="AW132" s="212">
        <v>3034</v>
      </c>
      <c r="AX132" s="212"/>
      <c r="AY132" s="212"/>
      <c r="AZ132" s="243" t="s">
        <v>907</v>
      </c>
      <c r="BA132" s="279">
        <f>AW132</f>
        <v>3034</v>
      </c>
    </row>
    <row r="133" spans="1:53" s="262" customFormat="1" ht="42.95" customHeight="1">
      <c r="A133" s="323" t="s">
        <v>77</v>
      </c>
      <c r="B133" s="312" t="s">
        <v>400</v>
      </c>
      <c r="C133" s="306" t="s">
        <v>383</v>
      </c>
      <c r="D133" s="306"/>
      <c r="E133" s="310" t="s">
        <v>816</v>
      </c>
      <c r="F133" s="306"/>
      <c r="G133" s="243" t="s">
        <v>401</v>
      </c>
      <c r="H133" s="243"/>
      <c r="I133" s="261" t="s">
        <v>981</v>
      </c>
      <c r="J133" s="212">
        <v>11000</v>
      </c>
      <c r="K133" s="212">
        <v>6341</v>
      </c>
      <c r="L133" s="212"/>
      <c r="M133" s="212"/>
      <c r="N133" s="212"/>
      <c r="O133" s="212"/>
      <c r="P133" s="212">
        <f t="shared" ref="P133" si="175">L133+W133</f>
        <v>0</v>
      </c>
      <c r="Q133" s="212">
        <f t="shared" ref="Q133" si="176">M133+X133</f>
        <v>0</v>
      </c>
      <c r="R133" s="273">
        <v>11000</v>
      </c>
      <c r="S133" s="273">
        <v>6341</v>
      </c>
      <c r="T133" s="212"/>
      <c r="U133" s="212"/>
      <c r="V133" s="212"/>
      <c r="W133" s="212"/>
      <c r="X133" s="212"/>
      <c r="Y133" s="212"/>
      <c r="Z133" s="212"/>
      <c r="AA133" s="212"/>
      <c r="AB133" s="212"/>
      <c r="AC133" s="212"/>
      <c r="AD133" s="212"/>
      <c r="AE133" s="212"/>
      <c r="AF133" s="212"/>
      <c r="AG133" s="212">
        <f t="shared" ref="AG133" si="177">W133+AA133</f>
        <v>0</v>
      </c>
      <c r="AH133" s="212">
        <f t="shared" ref="AH133" si="178">X133+AB133</f>
        <v>0</v>
      </c>
      <c r="AI133" s="212"/>
      <c r="AJ133" s="212"/>
      <c r="AK133" s="212">
        <f>AL133</f>
        <v>100</v>
      </c>
      <c r="AL133" s="212">
        <f>AP133</f>
        <v>100</v>
      </c>
      <c r="AM133" s="212">
        <f t="shared" ref="AM133" si="179">AQ133</f>
        <v>0</v>
      </c>
      <c r="AN133" s="212"/>
      <c r="AO133" s="212">
        <f>AP133</f>
        <v>100</v>
      </c>
      <c r="AP133" s="212">
        <v>100</v>
      </c>
      <c r="AQ133" s="212"/>
      <c r="AR133" s="212"/>
      <c r="AS133" s="212">
        <v>100</v>
      </c>
      <c r="AT133" s="212">
        <f t="shared" si="174"/>
        <v>100</v>
      </c>
      <c r="AU133" s="212">
        <v>100</v>
      </c>
      <c r="AV133" s="212">
        <f>AW133</f>
        <v>3000</v>
      </c>
      <c r="AW133" s="212">
        <v>3000</v>
      </c>
      <c r="AX133" s="212"/>
      <c r="AY133" s="212"/>
      <c r="AZ133" s="243" t="s">
        <v>907</v>
      </c>
      <c r="BA133" s="201"/>
    </row>
    <row r="134" spans="1:53" s="262" customFormat="1" ht="38.1" customHeight="1">
      <c r="A134" s="649">
        <v>4</v>
      </c>
      <c r="B134" s="289" t="s">
        <v>399</v>
      </c>
      <c r="C134" s="306" t="s">
        <v>383</v>
      </c>
      <c r="D134" s="306"/>
      <c r="E134" s="310" t="s">
        <v>816</v>
      </c>
      <c r="F134" s="306"/>
      <c r="G134" s="243"/>
      <c r="H134" s="243"/>
      <c r="I134" s="261" t="s">
        <v>982</v>
      </c>
      <c r="J134" s="212">
        <f>+K134</f>
        <v>5000</v>
      </c>
      <c r="K134" s="212">
        <v>5000</v>
      </c>
      <c r="L134" s="212"/>
      <c r="M134" s="212"/>
      <c r="N134" s="212"/>
      <c r="O134" s="212"/>
      <c r="P134" s="212">
        <f t="shared" ref="P134:Q134" si="180">L134+W134</f>
        <v>0</v>
      </c>
      <c r="Q134" s="212">
        <f t="shared" si="180"/>
        <v>0</v>
      </c>
      <c r="R134" s="212">
        <v>5000</v>
      </c>
      <c r="S134" s="212">
        <v>5000</v>
      </c>
      <c r="T134" s="212"/>
      <c r="U134" s="212"/>
      <c r="V134" s="212"/>
      <c r="W134" s="212"/>
      <c r="X134" s="212"/>
      <c r="Y134" s="212"/>
      <c r="Z134" s="212"/>
      <c r="AA134" s="212"/>
      <c r="AB134" s="212"/>
      <c r="AC134" s="212"/>
      <c r="AD134" s="212"/>
      <c r="AE134" s="212"/>
      <c r="AF134" s="212"/>
      <c r="AG134" s="212">
        <f>W134+AA134</f>
        <v>0</v>
      </c>
      <c r="AH134" s="212">
        <f>X134+AB134</f>
        <v>0</v>
      </c>
      <c r="AI134" s="212"/>
      <c r="AJ134" s="212"/>
      <c r="AK134" s="212">
        <f>AO134</f>
        <v>60</v>
      </c>
      <c r="AL134" s="212">
        <f>AP134</f>
        <v>60</v>
      </c>
      <c r="AM134" s="212">
        <f>AQ134</f>
        <v>0</v>
      </c>
      <c r="AN134" s="212">
        <f>AR134</f>
        <v>0</v>
      </c>
      <c r="AO134" s="212">
        <f>AP134</f>
        <v>60</v>
      </c>
      <c r="AP134" s="212">
        <v>60</v>
      </c>
      <c r="AQ134" s="212"/>
      <c r="AR134" s="212"/>
      <c r="AS134" s="212">
        <v>60</v>
      </c>
      <c r="AT134" s="212">
        <f t="shared" si="174"/>
        <v>60</v>
      </c>
      <c r="AU134" s="212">
        <v>60</v>
      </c>
      <c r="AV134" s="212">
        <f>AW134</f>
        <v>1500</v>
      </c>
      <c r="AW134" s="212">
        <v>1500</v>
      </c>
      <c r="AX134" s="212"/>
      <c r="AY134" s="212"/>
      <c r="AZ134" s="243" t="s">
        <v>907</v>
      </c>
      <c r="BA134" s="201">
        <f>AW134</f>
        <v>1500</v>
      </c>
    </row>
    <row r="135" spans="1:53" s="262" customFormat="1" ht="34.5" hidden="1" customHeight="1">
      <c r="A135" s="323" t="s">
        <v>133</v>
      </c>
      <c r="B135" s="271" t="s">
        <v>396</v>
      </c>
      <c r="C135" s="306" t="s">
        <v>383</v>
      </c>
      <c r="D135" s="306"/>
      <c r="E135" s="310" t="s">
        <v>816</v>
      </c>
      <c r="F135" s="306"/>
      <c r="G135" s="243"/>
      <c r="H135" s="243"/>
      <c r="I135" s="211"/>
      <c r="J135" s="212"/>
      <c r="K135" s="212"/>
      <c r="L135" s="212"/>
      <c r="M135" s="212"/>
      <c r="N135" s="212"/>
      <c r="O135" s="212"/>
      <c r="P135" s="212">
        <f t="shared" ref="P135" si="181">L135+W135</f>
        <v>0</v>
      </c>
      <c r="Q135" s="212">
        <f t="shared" ref="Q135" si="182">M135+X135</f>
        <v>0</v>
      </c>
      <c r="R135" s="212">
        <v>3000</v>
      </c>
      <c r="S135" s="212">
        <v>3000</v>
      </c>
      <c r="T135" s="212"/>
      <c r="U135" s="212"/>
      <c r="V135" s="212"/>
      <c r="W135" s="212"/>
      <c r="X135" s="212"/>
      <c r="Y135" s="212"/>
      <c r="Z135" s="212"/>
      <c r="AA135" s="212"/>
      <c r="AB135" s="212"/>
      <c r="AC135" s="212"/>
      <c r="AD135" s="212"/>
      <c r="AE135" s="212"/>
      <c r="AF135" s="212"/>
      <c r="AG135" s="212">
        <f t="shared" ref="AG135" si="183">W135+AA135</f>
        <v>0</v>
      </c>
      <c r="AH135" s="212">
        <f t="shared" ref="AH135" si="184">X135+AB135</f>
        <v>0</v>
      </c>
      <c r="AI135" s="212"/>
      <c r="AJ135" s="212"/>
      <c r="AK135" s="212">
        <f t="shared" ref="AK135" si="185">AO135</f>
        <v>68</v>
      </c>
      <c r="AL135" s="212">
        <f t="shared" ref="AL135" si="186">AP135</f>
        <v>68</v>
      </c>
      <c r="AM135" s="212">
        <f t="shared" ref="AM135" si="187">AQ135</f>
        <v>0</v>
      </c>
      <c r="AN135" s="212">
        <f t="shared" ref="AN135" si="188">AR135</f>
        <v>0</v>
      </c>
      <c r="AO135" s="212">
        <f>AP135</f>
        <v>68</v>
      </c>
      <c r="AP135" s="212">
        <v>68</v>
      </c>
      <c r="AQ135" s="212"/>
      <c r="AR135" s="212"/>
      <c r="AS135" s="212"/>
      <c r="AT135" s="212"/>
      <c r="AU135" s="212"/>
      <c r="AV135" s="212">
        <f>AW135</f>
        <v>0</v>
      </c>
      <c r="AW135" s="212"/>
      <c r="AX135" s="212"/>
      <c r="AY135" s="212"/>
      <c r="AZ135" s="243" t="s">
        <v>907</v>
      </c>
      <c r="BA135" s="279"/>
    </row>
    <row r="136" spans="1:53" s="533" customFormat="1" ht="31.5" customHeight="1">
      <c r="A136" s="237"/>
      <c r="B136" s="234" t="s">
        <v>327</v>
      </c>
      <c r="C136" s="255"/>
      <c r="D136" s="255"/>
      <c r="E136" s="255"/>
      <c r="F136" s="255"/>
      <c r="G136" s="235"/>
      <c r="H136" s="255"/>
      <c r="I136" s="256"/>
      <c r="J136" s="215"/>
      <c r="K136" s="215"/>
      <c r="L136" s="215"/>
      <c r="M136" s="215"/>
      <c r="N136" s="215"/>
      <c r="O136" s="215"/>
      <c r="P136" s="212"/>
      <c r="Q136" s="212"/>
      <c r="R136" s="215"/>
      <c r="S136" s="215"/>
      <c r="T136" s="215"/>
      <c r="U136" s="215"/>
      <c r="V136" s="215"/>
      <c r="W136" s="215"/>
      <c r="X136" s="215"/>
      <c r="Y136" s="215"/>
      <c r="Z136" s="215"/>
      <c r="AA136" s="215"/>
      <c r="AB136" s="215">
        <v>23278</v>
      </c>
      <c r="AC136" s="215"/>
      <c r="AD136" s="215"/>
      <c r="AE136" s="215"/>
      <c r="AF136" s="215"/>
      <c r="AG136" s="215"/>
      <c r="AH136" s="215"/>
      <c r="AI136" s="215"/>
      <c r="AJ136" s="215"/>
      <c r="AK136" s="215"/>
      <c r="AL136" s="215"/>
      <c r="AM136" s="215"/>
      <c r="AN136" s="215"/>
      <c r="AO136" s="215"/>
      <c r="AP136" s="215">
        <v>24405.42116664644</v>
      </c>
      <c r="AQ136" s="215"/>
      <c r="AR136" s="215"/>
      <c r="AS136" s="215"/>
      <c r="AT136" s="215"/>
      <c r="AU136" s="215"/>
      <c r="AV136" s="215"/>
      <c r="AW136" s="215">
        <v>28851</v>
      </c>
      <c r="AX136" s="215"/>
      <c r="AY136" s="215"/>
      <c r="AZ136" s="337"/>
    </row>
    <row r="137" spans="1:53" s="251" customFormat="1" ht="33.950000000000003" customHeight="1">
      <c r="A137" s="252" t="s">
        <v>136</v>
      </c>
      <c r="B137" s="253" t="s">
        <v>402</v>
      </c>
      <c r="C137" s="229"/>
      <c r="D137" s="229"/>
      <c r="E137" s="229"/>
      <c r="F137" s="229"/>
      <c r="G137" s="235"/>
      <c r="H137" s="229"/>
      <c r="I137" s="231"/>
      <c r="J137" s="215">
        <f t="shared" ref="J137:AH137" si="189">J138+J141+J145+J151</f>
        <v>198051</v>
      </c>
      <c r="K137" s="215">
        <f t="shared" si="189"/>
        <v>96322</v>
      </c>
      <c r="L137" s="215">
        <f t="shared" si="189"/>
        <v>36388</v>
      </c>
      <c r="M137" s="215">
        <f t="shared" si="189"/>
        <v>3542</v>
      </c>
      <c r="N137" s="215">
        <f t="shared" si="189"/>
        <v>36388</v>
      </c>
      <c r="O137" s="215">
        <f t="shared" si="189"/>
        <v>58184</v>
      </c>
      <c r="P137" s="215">
        <f t="shared" si="189"/>
        <v>42772</v>
      </c>
      <c r="Q137" s="215">
        <f t="shared" si="189"/>
        <v>9926</v>
      </c>
      <c r="R137" s="215">
        <f t="shared" si="189"/>
        <v>149842</v>
      </c>
      <c r="S137" s="215">
        <f t="shared" si="189"/>
        <v>89342</v>
      </c>
      <c r="T137" s="215">
        <f t="shared" si="189"/>
        <v>0</v>
      </c>
      <c r="U137" s="215">
        <f t="shared" si="189"/>
        <v>0</v>
      </c>
      <c r="V137" s="215">
        <f t="shared" si="189"/>
        <v>59503</v>
      </c>
      <c r="W137" s="215">
        <f t="shared" si="189"/>
        <v>6384</v>
      </c>
      <c r="X137" s="215">
        <f t="shared" si="189"/>
        <v>6384</v>
      </c>
      <c r="Y137" s="215">
        <f t="shared" si="189"/>
        <v>0</v>
      </c>
      <c r="Z137" s="215">
        <f t="shared" si="189"/>
        <v>0</v>
      </c>
      <c r="AA137" s="215">
        <f t="shared" si="189"/>
        <v>20293</v>
      </c>
      <c r="AB137" s="215">
        <f t="shared" si="189"/>
        <v>9688</v>
      </c>
      <c r="AC137" s="215">
        <f t="shared" si="189"/>
        <v>0</v>
      </c>
      <c r="AD137" s="215">
        <f t="shared" si="189"/>
        <v>0</v>
      </c>
      <c r="AE137" s="215">
        <f t="shared" si="189"/>
        <v>6045</v>
      </c>
      <c r="AF137" s="215">
        <f t="shared" si="189"/>
        <v>9214.4930000000004</v>
      </c>
      <c r="AG137" s="215">
        <f t="shared" si="189"/>
        <v>26677</v>
      </c>
      <c r="AH137" s="215">
        <f t="shared" si="189"/>
        <v>16072</v>
      </c>
      <c r="AI137" s="215"/>
      <c r="AJ137" s="215"/>
      <c r="AK137" s="215">
        <f t="shared" ref="AK137:AY137" si="190">AK138+AK141+AK145+AK151</f>
        <v>21700</v>
      </c>
      <c r="AL137" s="215">
        <f t="shared" si="190"/>
        <v>21700</v>
      </c>
      <c r="AM137" s="215">
        <f t="shared" si="190"/>
        <v>0</v>
      </c>
      <c r="AN137" s="215">
        <f t="shared" si="190"/>
        <v>0</v>
      </c>
      <c r="AO137" s="215">
        <f t="shared" si="190"/>
        <v>21700</v>
      </c>
      <c r="AP137" s="215">
        <f t="shared" si="190"/>
        <v>21700</v>
      </c>
      <c r="AQ137" s="215">
        <f t="shared" si="190"/>
        <v>0</v>
      </c>
      <c r="AR137" s="215">
        <f t="shared" si="190"/>
        <v>0</v>
      </c>
      <c r="AS137" s="215">
        <f t="shared" si="190"/>
        <v>81203</v>
      </c>
      <c r="AT137" s="215">
        <f t="shared" si="190"/>
        <v>37772</v>
      </c>
      <c r="AU137" s="215">
        <f t="shared" si="190"/>
        <v>37772</v>
      </c>
      <c r="AV137" s="215">
        <f t="shared" si="190"/>
        <v>42101</v>
      </c>
      <c r="AW137" s="215">
        <f t="shared" si="190"/>
        <v>28851</v>
      </c>
      <c r="AX137" s="215">
        <f t="shared" si="190"/>
        <v>0</v>
      </c>
      <c r="AY137" s="215">
        <f t="shared" si="190"/>
        <v>0</v>
      </c>
      <c r="AZ137" s="265"/>
      <c r="BA137" s="232"/>
    </row>
    <row r="138" spans="1:53" s="251" customFormat="1" ht="36.950000000000003" customHeight="1">
      <c r="A138" s="227" t="s">
        <v>33</v>
      </c>
      <c r="B138" s="540" t="s">
        <v>1029</v>
      </c>
      <c r="C138" s="252"/>
      <c r="D138" s="252"/>
      <c r="E138" s="252"/>
      <c r="F138" s="252"/>
      <c r="G138" s="229"/>
      <c r="H138" s="229"/>
      <c r="I138" s="231"/>
      <c r="J138" s="215">
        <f>+J139</f>
        <v>87000</v>
      </c>
      <c r="K138" s="215">
        <f t="shared" ref="K138:AY138" si="191">+K139</f>
        <v>23480</v>
      </c>
      <c r="L138" s="215">
        <f t="shared" si="191"/>
        <v>36388</v>
      </c>
      <c r="M138" s="215">
        <f t="shared" si="191"/>
        <v>3542</v>
      </c>
      <c r="N138" s="215">
        <f t="shared" si="191"/>
        <v>36388</v>
      </c>
      <c r="O138" s="215">
        <f t="shared" si="191"/>
        <v>11000</v>
      </c>
      <c r="P138" s="215">
        <f t="shared" si="191"/>
        <v>42388</v>
      </c>
      <c r="Q138" s="215">
        <f t="shared" si="191"/>
        <v>9542</v>
      </c>
      <c r="R138" s="215">
        <f t="shared" si="191"/>
        <v>47000</v>
      </c>
      <c r="S138" s="215">
        <f t="shared" si="191"/>
        <v>19000</v>
      </c>
      <c r="T138" s="215">
        <f t="shared" si="191"/>
        <v>0</v>
      </c>
      <c r="U138" s="215">
        <f t="shared" si="191"/>
        <v>0</v>
      </c>
      <c r="V138" s="215">
        <f t="shared" si="191"/>
        <v>48126</v>
      </c>
      <c r="W138" s="215">
        <f t="shared" si="191"/>
        <v>6000</v>
      </c>
      <c r="X138" s="215">
        <f t="shared" si="191"/>
        <v>6000</v>
      </c>
      <c r="Y138" s="215">
        <f t="shared" si="191"/>
        <v>0</v>
      </c>
      <c r="Z138" s="215">
        <f t="shared" si="191"/>
        <v>0</v>
      </c>
      <c r="AA138" s="215">
        <f t="shared" si="191"/>
        <v>9000</v>
      </c>
      <c r="AB138" s="215">
        <f t="shared" si="191"/>
        <v>5738</v>
      </c>
      <c r="AC138" s="215">
        <f t="shared" si="191"/>
        <v>0</v>
      </c>
      <c r="AD138" s="215">
        <f t="shared" si="191"/>
        <v>0</v>
      </c>
      <c r="AE138" s="215">
        <f t="shared" si="191"/>
        <v>5738</v>
      </c>
      <c r="AF138" s="215">
        <f t="shared" si="191"/>
        <v>5738</v>
      </c>
      <c r="AG138" s="215">
        <f t="shared" si="191"/>
        <v>15000</v>
      </c>
      <c r="AH138" s="215">
        <f t="shared" si="191"/>
        <v>11738</v>
      </c>
      <c r="AI138" s="215">
        <f t="shared" si="191"/>
        <v>0</v>
      </c>
      <c r="AJ138" s="215">
        <f t="shared" si="191"/>
        <v>0</v>
      </c>
      <c r="AK138" s="215">
        <f t="shared" si="191"/>
        <v>5500</v>
      </c>
      <c r="AL138" s="215">
        <f t="shared" si="191"/>
        <v>5500</v>
      </c>
      <c r="AM138" s="215">
        <f t="shared" si="191"/>
        <v>0</v>
      </c>
      <c r="AN138" s="215">
        <f t="shared" si="191"/>
        <v>0</v>
      </c>
      <c r="AO138" s="215">
        <f t="shared" si="191"/>
        <v>5500</v>
      </c>
      <c r="AP138" s="215">
        <f t="shared" si="191"/>
        <v>5500</v>
      </c>
      <c r="AQ138" s="215">
        <f t="shared" si="191"/>
        <v>0</v>
      </c>
      <c r="AR138" s="215">
        <f t="shared" si="191"/>
        <v>0</v>
      </c>
      <c r="AS138" s="215">
        <f t="shared" si="191"/>
        <v>53626</v>
      </c>
      <c r="AT138" s="215">
        <f t="shared" si="191"/>
        <v>17238</v>
      </c>
      <c r="AU138" s="215">
        <f t="shared" si="191"/>
        <v>17238</v>
      </c>
      <c r="AV138" s="215">
        <f t="shared" si="191"/>
        <v>1762</v>
      </c>
      <c r="AW138" s="215">
        <f t="shared" si="191"/>
        <v>1762</v>
      </c>
      <c r="AX138" s="215">
        <f t="shared" si="191"/>
        <v>0</v>
      </c>
      <c r="AY138" s="215">
        <f t="shared" si="191"/>
        <v>0</v>
      </c>
      <c r="AZ138" s="265"/>
      <c r="BA138" s="232"/>
    </row>
    <row r="139" spans="1:53" s="251" customFormat="1" ht="30.95" customHeight="1">
      <c r="A139" s="275" t="s">
        <v>35</v>
      </c>
      <c r="B139" s="236" t="s">
        <v>43</v>
      </c>
      <c r="C139" s="252"/>
      <c r="D139" s="252"/>
      <c r="E139" s="252"/>
      <c r="F139" s="252"/>
      <c r="G139" s="229"/>
      <c r="H139" s="229"/>
      <c r="I139" s="231"/>
      <c r="J139" s="215">
        <f>J140</f>
        <v>87000</v>
      </c>
      <c r="K139" s="215">
        <f t="shared" ref="K139:AY139" si="192">K140</f>
        <v>23480</v>
      </c>
      <c r="L139" s="215">
        <f t="shared" si="192"/>
        <v>36388</v>
      </c>
      <c r="M139" s="215">
        <f t="shared" si="192"/>
        <v>3542</v>
      </c>
      <c r="N139" s="215">
        <f t="shared" si="192"/>
        <v>36388</v>
      </c>
      <c r="O139" s="215">
        <f t="shared" si="192"/>
        <v>11000</v>
      </c>
      <c r="P139" s="215">
        <f t="shared" si="192"/>
        <v>42388</v>
      </c>
      <c r="Q139" s="215">
        <f t="shared" si="192"/>
        <v>9542</v>
      </c>
      <c r="R139" s="215">
        <f t="shared" si="192"/>
        <v>47000</v>
      </c>
      <c r="S139" s="215">
        <f t="shared" si="192"/>
        <v>19000</v>
      </c>
      <c r="T139" s="215">
        <f t="shared" si="192"/>
        <v>0</v>
      </c>
      <c r="U139" s="215">
        <f t="shared" si="192"/>
        <v>0</v>
      </c>
      <c r="V139" s="215">
        <f t="shared" si="192"/>
        <v>48126</v>
      </c>
      <c r="W139" s="215">
        <f t="shared" si="192"/>
        <v>6000</v>
      </c>
      <c r="X139" s="215">
        <f t="shared" si="192"/>
        <v>6000</v>
      </c>
      <c r="Y139" s="215">
        <f t="shared" si="192"/>
        <v>0</v>
      </c>
      <c r="Z139" s="215">
        <f t="shared" si="192"/>
        <v>0</v>
      </c>
      <c r="AA139" s="215">
        <f t="shared" si="192"/>
        <v>9000</v>
      </c>
      <c r="AB139" s="215">
        <f t="shared" si="192"/>
        <v>5738</v>
      </c>
      <c r="AC139" s="215">
        <f t="shared" si="192"/>
        <v>0</v>
      </c>
      <c r="AD139" s="215">
        <f t="shared" si="192"/>
        <v>0</v>
      </c>
      <c r="AE139" s="215">
        <f t="shared" si="192"/>
        <v>5738</v>
      </c>
      <c r="AF139" s="215">
        <f t="shared" si="192"/>
        <v>5738</v>
      </c>
      <c r="AG139" s="215">
        <f t="shared" si="192"/>
        <v>15000</v>
      </c>
      <c r="AH139" s="215">
        <f t="shared" si="192"/>
        <v>11738</v>
      </c>
      <c r="AI139" s="215">
        <f t="shared" si="192"/>
        <v>0</v>
      </c>
      <c r="AJ139" s="215">
        <f t="shared" si="192"/>
        <v>0</v>
      </c>
      <c r="AK139" s="215">
        <f t="shared" si="192"/>
        <v>5500</v>
      </c>
      <c r="AL139" s="215">
        <f t="shared" si="192"/>
        <v>5500</v>
      </c>
      <c r="AM139" s="215">
        <f t="shared" si="192"/>
        <v>0</v>
      </c>
      <c r="AN139" s="215">
        <f t="shared" si="192"/>
        <v>0</v>
      </c>
      <c r="AO139" s="215">
        <f t="shared" si="192"/>
        <v>5500</v>
      </c>
      <c r="AP139" s="215">
        <f t="shared" si="192"/>
        <v>5500</v>
      </c>
      <c r="AQ139" s="215">
        <f t="shared" si="192"/>
        <v>0</v>
      </c>
      <c r="AR139" s="215">
        <f t="shared" si="192"/>
        <v>0</v>
      </c>
      <c r="AS139" s="215">
        <f t="shared" si="192"/>
        <v>53626</v>
      </c>
      <c r="AT139" s="215">
        <f t="shared" si="192"/>
        <v>17238</v>
      </c>
      <c r="AU139" s="215">
        <f t="shared" si="192"/>
        <v>17238</v>
      </c>
      <c r="AV139" s="215">
        <f t="shared" si="192"/>
        <v>1762</v>
      </c>
      <c r="AW139" s="215">
        <f>AW140</f>
        <v>1762</v>
      </c>
      <c r="AX139" s="215">
        <f t="shared" si="192"/>
        <v>0</v>
      </c>
      <c r="AY139" s="215">
        <f t="shared" si="192"/>
        <v>0</v>
      </c>
      <c r="AZ139" s="265"/>
      <c r="BA139" s="232"/>
    </row>
    <row r="140" spans="1:53" s="262" customFormat="1" ht="38.450000000000003" customHeight="1">
      <c r="A140" s="282" t="s">
        <v>37</v>
      </c>
      <c r="B140" s="274" t="s">
        <v>404</v>
      </c>
      <c r="C140" s="649" t="s">
        <v>403</v>
      </c>
      <c r="D140" s="649"/>
      <c r="E140" s="310" t="s">
        <v>817</v>
      </c>
      <c r="F140" s="649"/>
      <c r="G140" s="243"/>
      <c r="H140" s="243"/>
      <c r="I140" s="248" t="s">
        <v>405</v>
      </c>
      <c r="J140" s="212">
        <v>87000</v>
      </c>
      <c r="K140" s="212">
        <v>23480</v>
      </c>
      <c r="L140" s="212">
        <v>36388</v>
      </c>
      <c r="M140" s="212">
        <v>3542</v>
      </c>
      <c r="N140" s="212">
        <v>36388</v>
      </c>
      <c r="O140" s="212">
        <v>11000</v>
      </c>
      <c r="P140" s="212">
        <f>L140+W140</f>
        <v>42388</v>
      </c>
      <c r="Q140" s="212">
        <f>M140+X140</f>
        <v>9542</v>
      </c>
      <c r="R140" s="212">
        <v>47000</v>
      </c>
      <c r="S140" s="212">
        <v>19000</v>
      </c>
      <c r="T140" s="212"/>
      <c r="U140" s="212"/>
      <c r="V140" s="212">
        <f>36388+6000+5738</f>
        <v>48126</v>
      </c>
      <c r="W140" s="212">
        <v>6000</v>
      </c>
      <c r="X140" s="212">
        <v>6000</v>
      </c>
      <c r="Y140" s="212"/>
      <c r="Z140" s="212"/>
      <c r="AA140" s="212">
        <v>9000</v>
      </c>
      <c r="AB140" s="212">
        <f>4000+1738</f>
        <v>5738</v>
      </c>
      <c r="AC140" s="212"/>
      <c r="AD140" s="212"/>
      <c r="AE140" s="566">
        <v>5738</v>
      </c>
      <c r="AF140" s="566">
        <v>5738</v>
      </c>
      <c r="AG140" s="212">
        <f>W140+AA140</f>
        <v>15000</v>
      </c>
      <c r="AH140" s="212">
        <f>X140+AB140</f>
        <v>11738</v>
      </c>
      <c r="AI140" s="212"/>
      <c r="AJ140" s="212"/>
      <c r="AK140" s="212">
        <f>AO140</f>
        <v>5500</v>
      </c>
      <c r="AL140" s="212">
        <f>AP140</f>
        <v>5500</v>
      </c>
      <c r="AM140" s="212">
        <f>AQ140</f>
        <v>0</v>
      </c>
      <c r="AN140" s="212">
        <f>AR140</f>
        <v>0</v>
      </c>
      <c r="AO140" s="273">
        <f>AP140</f>
        <v>5500</v>
      </c>
      <c r="AP140" s="273">
        <v>5500</v>
      </c>
      <c r="AQ140" s="212"/>
      <c r="AR140" s="212"/>
      <c r="AS140" s="212">
        <f t="shared" ref="AS140" si="193">V140+AP140</f>
        <v>53626</v>
      </c>
      <c r="AT140" s="212">
        <f t="shared" ref="AT140" si="194">AU140</f>
        <v>17238</v>
      </c>
      <c r="AU140" s="212">
        <f t="shared" ref="AU140" si="195">AH140+AP140</f>
        <v>17238</v>
      </c>
      <c r="AV140" s="212">
        <f t="shared" ref="AV140" si="196">AW140</f>
        <v>1762</v>
      </c>
      <c r="AW140" s="212">
        <f t="shared" ref="AW140" si="197">S140-AU140</f>
        <v>1762</v>
      </c>
      <c r="AX140" s="212"/>
      <c r="AY140" s="212"/>
      <c r="AZ140" s="261" t="s">
        <v>783</v>
      </c>
      <c r="BA140" s="201"/>
    </row>
    <row r="141" spans="1:53" s="251" customFormat="1" ht="30.95" customHeight="1">
      <c r="A141" s="227" t="s">
        <v>46</v>
      </c>
      <c r="B141" s="234" t="s">
        <v>899</v>
      </c>
      <c r="C141" s="252"/>
      <c r="D141" s="252"/>
      <c r="E141" s="252"/>
      <c r="F141" s="252"/>
      <c r="G141" s="229"/>
      <c r="H141" s="229"/>
      <c r="I141" s="231"/>
      <c r="J141" s="215">
        <f>J142</f>
        <v>12800</v>
      </c>
      <c r="K141" s="215">
        <f t="shared" ref="K141:AY141" si="198">K142</f>
        <v>12800</v>
      </c>
      <c r="L141" s="215">
        <f t="shared" si="198"/>
        <v>0</v>
      </c>
      <c r="M141" s="215">
        <f t="shared" si="198"/>
        <v>0</v>
      </c>
      <c r="N141" s="215">
        <f t="shared" si="198"/>
        <v>0</v>
      </c>
      <c r="O141" s="215">
        <f t="shared" si="198"/>
        <v>0</v>
      </c>
      <c r="P141" s="215">
        <f t="shared" si="198"/>
        <v>169</v>
      </c>
      <c r="Q141" s="215">
        <f t="shared" si="198"/>
        <v>169</v>
      </c>
      <c r="R141" s="215">
        <f t="shared" si="198"/>
        <v>12800</v>
      </c>
      <c r="S141" s="215">
        <f t="shared" si="198"/>
        <v>12800</v>
      </c>
      <c r="T141" s="215">
        <f t="shared" si="198"/>
        <v>0</v>
      </c>
      <c r="U141" s="215">
        <f t="shared" si="198"/>
        <v>0</v>
      </c>
      <c r="V141" s="215">
        <f t="shared" si="198"/>
        <v>3819</v>
      </c>
      <c r="W141" s="215">
        <f t="shared" si="198"/>
        <v>169</v>
      </c>
      <c r="X141" s="215">
        <f t="shared" si="198"/>
        <v>169</v>
      </c>
      <c r="Y141" s="215">
        <f t="shared" si="198"/>
        <v>0</v>
      </c>
      <c r="Z141" s="215">
        <f t="shared" si="198"/>
        <v>0</v>
      </c>
      <c r="AA141" s="215">
        <f t="shared" si="198"/>
        <v>3650</v>
      </c>
      <c r="AB141" s="215">
        <f t="shared" si="198"/>
        <v>3650</v>
      </c>
      <c r="AC141" s="215">
        <f t="shared" si="198"/>
        <v>0</v>
      </c>
      <c r="AD141" s="215">
        <f t="shared" si="198"/>
        <v>0</v>
      </c>
      <c r="AE141" s="215">
        <f t="shared" si="198"/>
        <v>307</v>
      </c>
      <c r="AF141" s="215">
        <f t="shared" si="198"/>
        <v>3476.4929999999999</v>
      </c>
      <c r="AG141" s="215">
        <f t="shared" si="198"/>
        <v>3819</v>
      </c>
      <c r="AH141" s="215">
        <f t="shared" si="198"/>
        <v>3819</v>
      </c>
      <c r="AI141" s="215">
        <f t="shared" si="198"/>
        <v>0</v>
      </c>
      <c r="AJ141" s="215">
        <f t="shared" si="198"/>
        <v>0</v>
      </c>
      <c r="AK141" s="215">
        <f t="shared" si="198"/>
        <v>4700</v>
      </c>
      <c r="AL141" s="215">
        <f t="shared" si="198"/>
        <v>4700</v>
      </c>
      <c r="AM141" s="215">
        <f t="shared" si="198"/>
        <v>0</v>
      </c>
      <c r="AN141" s="215">
        <f t="shared" si="198"/>
        <v>0</v>
      </c>
      <c r="AO141" s="215">
        <f t="shared" si="198"/>
        <v>4700</v>
      </c>
      <c r="AP141" s="215">
        <f t="shared" si="198"/>
        <v>4700</v>
      </c>
      <c r="AQ141" s="215">
        <f t="shared" si="198"/>
        <v>0</v>
      </c>
      <c r="AR141" s="215">
        <f t="shared" si="198"/>
        <v>0</v>
      </c>
      <c r="AS141" s="215">
        <f t="shared" si="198"/>
        <v>8519</v>
      </c>
      <c r="AT141" s="215">
        <f t="shared" si="198"/>
        <v>8519</v>
      </c>
      <c r="AU141" s="215">
        <f t="shared" si="198"/>
        <v>8519</v>
      </c>
      <c r="AV141" s="215">
        <f t="shared" si="198"/>
        <v>4246</v>
      </c>
      <c r="AW141" s="215">
        <f t="shared" si="198"/>
        <v>4246</v>
      </c>
      <c r="AX141" s="215">
        <f t="shared" si="198"/>
        <v>0</v>
      </c>
      <c r="AY141" s="215">
        <f t="shared" si="198"/>
        <v>0</v>
      </c>
      <c r="AZ141" s="265"/>
      <c r="BA141" s="232"/>
    </row>
    <row r="142" spans="1:53" s="257" customFormat="1" ht="24.75" customHeight="1">
      <c r="A142" s="275" t="s">
        <v>42</v>
      </c>
      <c r="B142" s="236" t="s">
        <v>45</v>
      </c>
      <c r="C142" s="255"/>
      <c r="D142" s="255"/>
      <c r="E142" s="255"/>
      <c r="F142" s="255"/>
      <c r="G142" s="255"/>
      <c r="H142" s="255"/>
      <c r="I142" s="256"/>
      <c r="J142" s="277">
        <f t="shared" ref="J142:AY142" si="199">SUM(J143:J144)</f>
        <v>12800</v>
      </c>
      <c r="K142" s="277">
        <f t="shared" si="199"/>
        <v>12800</v>
      </c>
      <c r="L142" s="277">
        <f t="shared" si="199"/>
        <v>0</v>
      </c>
      <c r="M142" s="277">
        <f t="shared" si="199"/>
        <v>0</v>
      </c>
      <c r="N142" s="277">
        <f t="shared" si="199"/>
        <v>0</v>
      </c>
      <c r="O142" s="277">
        <f t="shared" si="199"/>
        <v>0</v>
      </c>
      <c r="P142" s="277">
        <f t="shared" si="199"/>
        <v>169</v>
      </c>
      <c r="Q142" s="277">
        <f t="shared" si="199"/>
        <v>169</v>
      </c>
      <c r="R142" s="277">
        <f t="shared" si="199"/>
        <v>12800</v>
      </c>
      <c r="S142" s="277">
        <f t="shared" si="199"/>
        <v>12800</v>
      </c>
      <c r="T142" s="277">
        <f t="shared" si="199"/>
        <v>0</v>
      </c>
      <c r="U142" s="277">
        <f t="shared" si="199"/>
        <v>0</v>
      </c>
      <c r="V142" s="277">
        <f t="shared" si="199"/>
        <v>3819</v>
      </c>
      <c r="W142" s="277">
        <f t="shared" si="199"/>
        <v>169</v>
      </c>
      <c r="X142" s="277">
        <f t="shared" si="199"/>
        <v>169</v>
      </c>
      <c r="Y142" s="277">
        <f t="shared" si="199"/>
        <v>0</v>
      </c>
      <c r="Z142" s="277">
        <f t="shared" si="199"/>
        <v>0</v>
      </c>
      <c r="AA142" s="277">
        <f t="shared" si="199"/>
        <v>3650</v>
      </c>
      <c r="AB142" s="277">
        <f t="shared" si="199"/>
        <v>3650</v>
      </c>
      <c r="AC142" s="277">
        <f t="shared" si="199"/>
        <v>0</v>
      </c>
      <c r="AD142" s="277">
        <f t="shared" si="199"/>
        <v>0</v>
      </c>
      <c r="AE142" s="277">
        <f t="shared" si="199"/>
        <v>307</v>
      </c>
      <c r="AF142" s="277">
        <f t="shared" si="199"/>
        <v>3476.4929999999999</v>
      </c>
      <c r="AG142" s="277">
        <f t="shared" si="199"/>
        <v>3819</v>
      </c>
      <c r="AH142" s="277">
        <f t="shared" si="199"/>
        <v>3819</v>
      </c>
      <c r="AI142" s="277">
        <f t="shared" si="199"/>
        <v>0</v>
      </c>
      <c r="AJ142" s="277">
        <f t="shared" si="199"/>
        <v>0</v>
      </c>
      <c r="AK142" s="277">
        <f t="shared" si="199"/>
        <v>4700</v>
      </c>
      <c r="AL142" s="277">
        <f t="shared" si="199"/>
        <v>4700</v>
      </c>
      <c r="AM142" s="277">
        <f t="shared" si="199"/>
        <v>0</v>
      </c>
      <c r="AN142" s="277">
        <f t="shared" si="199"/>
        <v>0</v>
      </c>
      <c r="AO142" s="277">
        <f t="shared" si="199"/>
        <v>4700</v>
      </c>
      <c r="AP142" s="277">
        <f t="shared" si="199"/>
        <v>4700</v>
      </c>
      <c r="AQ142" s="277">
        <f t="shared" si="199"/>
        <v>0</v>
      </c>
      <c r="AR142" s="277">
        <f t="shared" si="199"/>
        <v>0</v>
      </c>
      <c r="AS142" s="277">
        <f t="shared" si="199"/>
        <v>8519</v>
      </c>
      <c r="AT142" s="277">
        <f t="shared" si="199"/>
        <v>8519</v>
      </c>
      <c r="AU142" s="277">
        <f t="shared" si="199"/>
        <v>8519</v>
      </c>
      <c r="AV142" s="277">
        <f t="shared" si="199"/>
        <v>4246</v>
      </c>
      <c r="AW142" s="277">
        <f t="shared" si="199"/>
        <v>4246</v>
      </c>
      <c r="AX142" s="277">
        <f t="shared" si="199"/>
        <v>0</v>
      </c>
      <c r="AY142" s="277">
        <f t="shared" si="199"/>
        <v>0</v>
      </c>
      <c r="AZ142" s="272"/>
      <c r="BA142" s="533"/>
    </row>
    <row r="143" spans="1:53" s="270" customFormat="1" ht="38.1" customHeight="1">
      <c r="A143" s="209">
        <v>1</v>
      </c>
      <c r="B143" s="267" t="s">
        <v>406</v>
      </c>
      <c r="C143" s="649" t="s">
        <v>403</v>
      </c>
      <c r="D143" s="649"/>
      <c r="E143" s="310" t="s">
        <v>817</v>
      </c>
      <c r="F143" s="649"/>
      <c r="G143" s="272"/>
      <c r="H143" s="243" t="s">
        <v>567</v>
      </c>
      <c r="I143" s="248" t="s">
        <v>407</v>
      </c>
      <c r="J143" s="273">
        <v>4800</v>
      </c>
      <c r="K143" s="273">
        <v>4800</v>
      </c>
      <c r="L143" s="212"/>
      <c r="M143" s="212"/>
      <c r="N143" s="212"/>
      <c r="O143" s="212"/>
      <c r="P143" s="212">
        <f t="shared" ref="P143:Q144" si="200">L143+W143</f>
        <v>65</v>
      </c>
      <c r="Q143" s="212">
        <f t="shared" si="200"/>
        <v>65</v>
      </c>
      <c r="R143" s="212">
        <f>S143</f>
        <v>4800</v>
      </c>
      <c r="S143" s="212">
        <v>4800</v>
      </c>
      <c r="T143" s="212"/>
      <c r="U143" s="212"/>
      <c r="V143" s="212">
        <f>65+1500</f>
        <v>1565</v>
      </c>
      <c r="W143" s="212">
        <v>65</v>
      </c>
      <c r="X143" s="212">
        <v>65</v>
      </c>
      <c r="Y143" s="212"/>
      <c r="Z143" s="212"/>
      <c r="AA143" s="212">
        <v>1500</v>
      </c>
      <c r="AB143" s="212">
        <v>1500</v>
      </c>
      <c r="AC143" s="212"/>
      <c r="AD143" s="212"/>
      <c r="AE143" s="273">
        <v>140</v>
      </c>
      <c r="AF143" s="273">
        <v>1409.88</v>
      </c>
      <c r="AG143" s="212">
        <f t="shared" ref="AG143:AG160" si="201">W143+AA143</f>
        <v>1565</v>
      </c>
      <c r="AH143" s="212">
        <f t="shared" ref="AH143:AH159" si="202">X143+AB143</f>
        <v>1565</v>
      </c>
      <c r="AI143" s="212"/>
      <c r="AJ143" s="212"/>
      <c r="AK143" s="212">
        <f t="shared" ref="AK143:AK166" si="203">AO143</f>
        <v>2700</v>
      </c>
      <c r="AL143" s="212">
        <f t="shared" ref="AL143:AL166" si="204">AP143</f>
        <v>2700</v>
      </c>
      <c r="AM143" s="212">
        <f t="shared" ref="AM143:AM166" si="205">AQ143</f>
        <v>0</v>
      </c>
      <c r="AN143" s="212">
        <f t="shared" ref="AN143:AN166" si="206">AR143</f>
        <v>0</v>
      </c>
      <c r="AO143" s="212">
        <f t="shared" ref="AO143" si="207">AP143</f>
        <v>2700</v>
      </c>
      <c r="AP143" s="212">
        <v>2700</v>
      </c>
      <c r="AQ143" s="212"/>
      <c r="AR143" s="212"/>
      <c r="AS143" s="212">
        <f t="shared" ref="AS143:AS144" si="208">V143+AP143</f>
        <v>4265</v>
      </c>
      <c r="AT143" s="212">
        <f t="shared" ref="AT143:AT144" si="209">AU143</f>
        <v>4265</v>
      </c>
      <c r="AU143" s="212">
        <f t="shared" ref="AU143:AU144" si="210">AH143+AP143</f>
        <v>4265</v>
      </c>
      <c r="AV143" s="212">
        <f t="shared" ref="AV143:AV144" si="211">AW143</f>
        <v>500</v>
      </c>
      <c r="AW143" s="212">
        <v>500</v>
      </c>
      <c r="AX143" s="212"/>
      <c r="AY143" s="212"/>
      <c r="AZ143" s="243"/>
      <c r="BA143" s="279">
        <f>AW143</f>
        <v>500</v>
      </c>
    </row>
    <row r="144" spans="1:53" s="270" customFormat="1" ht="47.45" customHeight="1">
      <c r="A144" s="209">
        <v>2</v>
      </c>
      <c r="B144" s="271" t="s">
        <v>408</v>
      </c>
      <c r="C144" s="649" t="s">
        <v>403</v>
      </c>
      <c r="D144" s="649"/>
      <c r="E144" s="310" t="s">
        <v>817</v>
      </c>
      <c r="F144" s="649"/>
      <c r="G144" s="272"/>
      <c r="H144" s="243" t="s">
        <v>784</v>
      </c>
      <c r="I144" s="211" t="s">
        <v>409</v>
      </c>
      <c r="J144" s="212">
        <v>8000</v>
      </c>
      <c r="K144" s="212">
        <v>8000</v>
      </c>
      <c r="L144" s="212"/>
      <c r="M144" s="212"/>
      <c r="N144" s="212"/>
      <c r="O144" s="212"/>
      <c r="P144" s="212">
        <f t="shared" si="200"/>
        <v>104</v>
      </c>
      <c r="Q144" s="212">
        <f t="shared" si="200"/>
        <v>104</v>
      </c>
      <c r="R144" s="212">
        <f>S144</f>
        <v>8000</v>
      </c>
      <c r="S144" s="212">
        <v>8000</v>
      </c>
      <c r="T144" s="212"/>
      <c r="U144" s="212"/>
      <c r="V144" s="212">
        <f>104+2150</f>
        <v>2254</v>
      </c>
      <c r="W144" s="212">
        <v>104</v>
      </c>
      <c r="X144" s="212">
        <v>104</v>
      </c>
      <c r="Y144" s="212"/>
      <c r="Z144" s="212"/>
      <c r="AA144" s="212">
        <v>2150</v>
      </c>
      <c r="AB144" s="212">
        <v>2150</v>
      </c>
      <c r="AC144" s="212"/>
      <c r="AD144" s="212"/>
      <c r="AE144" s="273">
        <v>167</v>
      </c>
      <c r="AF144" s="273">
        <v>2066.6129999999998</v>
      </c>
      <c r="AG144" s="212">
        <f t="shared" si="201"/>
        <v>2254</v>
      </c>
      <c r="AH144" s="212">
        <f t="shared" si="202"/>
        <v>2254</v>
      </c>
      <c r="AI144" s="212"/>
      <c r="AJ144" s="212"/>
      <c r="AK144" s="212">
        <f t="shared" si="203"/>
        <v>2000</v>
      </c>
      <c r="AL144" s="212">
        <f t="shared" si="204"/>
        <v>2000</v>
      </c>
      <c r="AM144" s="212">
        <f t="shared" si="205"/>
        <v>0</v>
      </c>
      <c r="AN144" s="212">
        <f t="shared" si="206"/>
        <v>0</v>
      </c>
      <c r="AO144" s="212">
        <f>AP144</f>
        <v>2000</v>
      </c>
      <c r="AP144" s="212">
        <v>2000</v>
      </c>
      <c r="AQ144" s="212"/>
      <c r="AR144" s="212"/>
      <c r="AS144" s="212">
        <f t="shared" si="208"/>
        <v>4254</v>
      </c>
      <c r="AT144" s="212">
        <f t="shared" si="209"/>
        <v>4254</v>
      </c>
      <c r="AU144" s="212">
        <f t="shared" si="210"/>
        <v>4254</v>
      </c>
      <c r="AV144" s="212">
        <f t="shared" si="211"/>
        <v>3746</v>
      </c>
      <c r="AW144" s="212">
        <f t="shared" ref="AW144" si="212">S144-AU144</f>
        <v>3746</v>
      </c>
      <c r="AX144" s="212"/>
      <c r="AY144" s="212"/>
      <c r="AZ144" s="243"/>
      <c r="BA144" s="279"/>
    </row>
    <row r="145" spans="1:53" s="232" customFormat="1" ht="33.75" customHeight="1">
      <c r="A145" s="356" t="s">
        <v>278</v>
      </c>
      <c r="B145" s="540" t="s">
        <v>900</v>
      </c>
      <c r="C145" s="541"/>
      <c r="D145" s="541"/>
      <c r="E145" s="541"/>
      <c r="F145" s="541"/>
      <c r="G145" s="541"/>
      <c r="H145" s="541"/>
      <c r="I145" s="523"/>
      <c r="J145" s="525">
        <f>J146</f>
        <v>87034</v>
      </c>
      <c r="K145" s="525">
        <f t="shared" ref="K145:AY145" si="213">K146</f>
        <v>48825</v>
      </c>
      <c r="L145" s="525">
        <f t="shared" si="213"/>
        <v>0</v>
      </c>
      <c r="M145" s="525">
        <f t="shared" si="213"/>
        <v>0</v>
      </c>
      <c r="N145" s="525">
        <f t="shared" si="213"/>
        <v>0</v>
      </c>
      <c r="O145" s="525">
        <f t="shared" si="213"/>
        <v>47184</v>
      </c>
      <c r="P145" s="525">
        <f t="shared" si="213"/>
        <v>215</v>
      </c>
      <c r="Q145" s="525">
        <f t="shared" si="213"/>
        <v>215</v>
      </c>
      <c r="R145" s="525">
        <f t="shared" si="213"/>
        <v>78825</v>
      </c>
      <c r="S145" s="525">
        <f t="shared" si="213"/>
        <v>46325</v>
      </c>
      <c r="T145" s="525">
        <f t="shared" si="213"/>
        <v>0</v>
      </c>
      <c r="U145" s="525">
        <f t="shared" si="213"/>
        <v>0</v>
      </c>
      <c r="V145" s="525">
        <f t="shared" si="213"/>
        <v>7558</v>
      </c>
      <c r="W145" s="525">
        <f t="shared" si="213"/>
        <v>215</v>
      </c>
      <c r="X145" s="525">
        <f t="shared" si="213"/>
        <v>215</v>
      </c>
      <c r="Y145" s="525">
        <f t="shared" si="213"/>
        <v>0</v>
      </c>
      <c r="Z145" s="525">
        <f t="shared" si="213"/>
        <v>0</v>
      </c>
      <c r="AA145" s="525">
        <f t="shared" si="213"/>
        <v>7643</v>
      </c>
      <c r="AB145" s="525">
        <f t="shared" si="213"/>
        <v>300</v>
      </c>
      <c r="AC145" s="525">
        <f t="shared" si="213"/>
        <v>0</v>
      </c>
      <c r="AD145" s="525">
        <f t="shared" si="213"/>
        <v>0</v>
      </c>
      <c r="AE145" s="525">
        <f t="shared" si="213"/>
        <v>0</v>
      </c>
      <c r="AF145" s="525">
        <f t="shared" si="213"/>
        <v>0</v>
      </c>
      <c r="AG145" s="525">
        <f t="shared" si="213"/>
        <v>7858</v>
      </c>
      <c r="AH145" s="525">
        <f t="shared" si="213"/>
        <v>515</v>
      </c>
      <c r="AI145" s="525"/>
      <c r="AJ145" s="525"/>
      <c r="AK145" s="525">
        <f t="shared" si="213"/>
        <v>11500</v>
      </c>
      <c r="AL145" s="525">
        <f t="shared" si="213"/>
        <v>11500</v>
      </c>
      <c r="AM145" s="525">
        <f t="shared" si="213"/>
        <v>0</v>
      </c>
      <c r="AN145" s="525">
        <f t="shared" si="213"/>
        <v>0</v>
      </c>
      <c r="AO145" s="525">
        <f t="shared" si="213"/>
        <v>11500</v>
      </c>
      <c r="AP145" s="525">
        <f t="shared" si="213"/>
        <v>11500</v>
      </c>
      <c r="AQ145" s="525">
        <f t="shared" si="213"/>
        <v>0</v>
      </c>
      <c r="AR145" s="525">
        <f t="shared" si="213"/>
        <v>0</v>
      </c>
      <c r="AS145" s="242">
        <f t="shared" si="213"/>
        <v>19058</v>
      </c>
      <c r="AT145" s="242">
        <f t="shared" si="213"/>
        <v>12015</v>
      </c>
      <c r="AU145" s="242">
        <f t="shared" si="213"/>
        <v>12015</v>
      </c>
      <c r="AV145" s="242">
        <f t="shared" si="213"/>
        <v>32500</v>
      </c>
      <c r="AW145" s="242">
        <f t="shared" si="213"/>
        <v>19250</v>
      </c>
      <c r="AX145" s="242">
        <f t="shared" si="213"/>
        <v>0</v>
      </c>
      <c r="AY145" s="242">
        <f t="shared" si="213"/>
        <v>0</v>
      </c>
      <c r="AZ145" s="337"/>
    </row>
    <row r="146" spans="1:53" s="533" customFormat="1" ht="33.75" customHeight="1">
      <c r="A146" s="275" t="s">
        <v>35</v>
      </c>
      <c r="B146" s="236" t="s">
        <v>45</v>
      </c>
      <c r="C146" s="311"/>
      <c r="D146" s="311"/>
      <c r="E146" s="311"/>
      <c r="F146" s="311"/>
      <c r="G146" s="311"/>
      <c r="H146" s="311"/>
      <c r="I146" s="256"/>
      <c r="J146" s="300">
        <f>SUM(J147:J150)</f>
        <v>87034</v>
      </c>
      <c r="K146" s="300">
        <f t="shared" ref="K146:AV146" si="214">SUM(K147:K150)</f>
        <v>48825</v>
      </c>
      <c r="L146" s="300">
        <f t="shared" si="214"/>
        <v>0</v>
      </c>
      <c r="M146" s="300">
        <f t="shared" si="214"/>
        <v>0</v>
      </c>
      <c r="N146" s="300">
        <f t="shared" si="214"/>
        <v>0</v>
      </c>
      <c r="O146" s="300">
        <f t="shared" si="214"/>
        <v>47184</v>
      </c>
      <c r="P146" s="300">
        <f t="shared" si="214"/>
        <v>215</v>
      </c>
      <c r="Q146" s="300">
        <f t="shared" si="214"/>
        <v>215</v>
      </c>
      <c r="R146" s="300">
        <f t="shared" si="214"/>
        <v>78825</v>
      </c>
      <c r="S146" s="300">
        <f t="shared" si="214"/>
        <v>46325</v>
      </c>
      <c r="T146" s="300">
        <f t="shared" si="214"/>
        <v>0</v>
      </c>
      <c r="U146" s="300">
        <f t="shared" si="214"/>
        <v>0</v>
      </c>
      <c r="V146" s="300">
        <f t="shared" si="214"/>
        <v>7558</v>
      </c>
      <c r="W146" s="300">
        <f t="shared" si="214"/>
        <v>215</v>
      </c>
      <c r="X146" s="300">
        <f t="shared" si="214"/>
        <v>215</v>
      </c>
      <c r="Y146" s="300">
        <f t="shared" si="214"/>
        <v>0</v>
      </c>
      <c r="Z146" s="300">
        <f t="shared" si="214"/>
        <v>0</v>
      </c>
      <c r="AA146" s="300">
        <f t="shared" si="214"/>
        <v>7643</v>
      </c>
      <c r="AB146" s="300">
        <f t="shared" si="214"/>
        <v>300</v>
      </c>
      <c r="AC146" s="300">
        <f t="shared" si="214"/>
        <v>0</v>
      </c>
      <c r="AD146" s="300">
        <f t="shared" si="214"/>
        <v>0</v>
      </c>
      <c r="AE146" s="300">
        <f t="shared" si="214"/>
        <v>0</v>
      </c>
      <c r="AF146" s="300">
        <f t="shared" si="214"/>
        <v>0</v>
      </c>
      <c r="AG146" s="300">
        <f t="shared" si="214"/>
        <v>7858</v>
      </c>
      <c r="AH146" s="300">
        <f t="shared" si="214"/>
        <v>515</v>
      </c>
      <c r="AI146" s="300">
        <f t="shared" si="214"/>
        <v>0</v>
      </c>
      <c r="AJ146" s="300">
        <f t="shared" si="214"/>
        <v>0</v>
      </c>
      <c r="AK146" s="300">
        <f t="shared" si="214"/>
        <v>11500</v>
      </c>
      <c r="AL146" s="300">
        <f t="shared" si="214"/>
        <v>11500</v>
      </c>
      <c r="AM146" s="300">
        <f t="shared" si="214"/>
        <v>0</v>
      </c>
      <c r="AN146" s="300">
        <f t="shared" si="214"/>
        <v>0</v>
      </c>
      <c r="AO146" s="300">
        <f t="shared" si="214"/>
        <v>11500</v>
      </c>
      <c r="AP146" s="300">
        <f t="shared" si="214"/>
        <v>11500</v>
      </c>
      <c r="AQ146" s="300">
        <f t="shared" si="214"/>
        <v>0</v>
      </c>
      <c r="AR146" s="300">
        <f t="shared" si="214"/>
        <v>0</v>
      </c>
      <c r="AS146" s="300">
        <f t="shared" si="214"/>
        <v>19058</v>
      </c>
      <c r="AT146" s="300">
        <f t="shared" si="214"/>
        <v>12015</v>
      </c>
      <c r="AU146" s="300">
        <f t="shared" si="214"/>
        <v>12015</v>
      </c>
      <c r="AV146" s="300">
        <f t="shared" si="214"/>
        <v>32500</v>
      </c>
      <c r="AW146" s="300">
        <f>SUM(AW147:AW150)</f>
        <v>19250</v>
      </c>
      <c r="AX146" s="300">
        <f t="shared" ref="AX146:AY146" si="215">SUM(AX148:AX150)</f>
        <v>0</v>
      </c>
      <c r="AY146" s="300">
        <f t="shared" si="215"/>
        <v>0</v>
      </c>
      <c r="AZ146" s="255"/>
    </row>
    <row r="147" spans="1:53" s="262" customFormat="1" ht="60">
      <c r="A147" s="209">
        <v>1</v>
      </c>
      <c r="B147" s="307" t="s">
        <v>411</v>
      </c>
      <c r="C147" s="310" t="s">
        <v>412</v>
      </c>
      <c r="D147" s="310"/>
      <c r="E147" s="310" t="s">
        <v>817</v>
      </c>
      <c r="F147" s="310"/>
      <c r="G147" s="310" t="s">
        <v>413</v>
      </c>
      <c r="H147" s="310" t="s">
        <v>414</v>
      </c>
      <c r="I147" s="310" t="s">
        <v>415</v>
      </c>
      <c r="J147" s="568">
        <v>47184</v>
      </c>
      <c r="K147" s="569">
        <v>8975</v>
      </c>
      <c r="L147" s="212"/>
      <c r="M147" s="212"/>
      <c r="N147" s="212"/>
      <c r="O147" s="212">
        <f>J147</f>
        <v>47184</v>
      </c>
      <c r="P147" s="212">
        <f t="shared" ref="P147" si="216">L147+W147</f>
        <v>0</v>
      </c>
      <c r="Q147" s="212">
        <f t="shared" ref="Q147" si="217">M147+X147</f>
        <v>0</v>
      </c>
      <c r="R147" s="295">
        <f>S147+32500</f>
        <v>41475</v>
      </c>
      <c r="S147" s="212">
        <v>8975</v>
      </c>
      <c r="T147" s="212"/>
      <c r="U147" s="212"/>
      <c r="V147" s="212">
        <v>7343</v>
      </c>
      <c r="W147" s="212"/>
      <c r="X147" s="212"/>
      <c r="Y147" s="212"/>
      <c r="Z147" s="212"/>
      <c r="AA147" s="212">
        <v>7343</v>
      </c>
      <c r="AB147" s="212"/>
      <c r="AC147" s="212"/>
      <c r="AD147" s="212"/>
      <c r="AE147" s="212"/>
      <c r="AF147" s="212"/>
      <c r="AG147" s="212">
        <f t="shared" ref="AG147" si="218">W147+AA147</f>
        <v>7343</v>
      </c>
      <c r="AH147" s="212">
        <f t="shared" ref="AH147" si="219">X147+AB147</f>
        <v>0</v>
      </c>
      <c r="AI147" s="212"/>
      <c r="AJ147" s="212"/>
      <c r="AK147" s="212">
        <f t="shared" ref="AK147" si="220">AO147</f>
        <v>1000</v>
      </c>
      <c r="AL147" s="212">
        <f t="shared" ref="AL147" si="221">AP147</f>
        <v>1000</v>
      </c>
      <c r="AM147" s="212">
        <f t="shared" ref="AM147" si="222">AQ147</f>
        <v>0</v>
      </c>
      <c r="AN147" s="212">
        <f t="shared" ref="AN147" si="223">AR147</f>
        <v>0</v>
      </c>
      <c r="AO147" s="212">
        <f>AP147</f>
        <v>1000</v>
      </c>
      <c r="AP147" s="212">
        <v>1000</v>
      </c>
      <c r="AQ147" s="212"/>
      <c r="AR147" s="212"/>
      <c r="AS147" s="212">
        <f t="shared" ref="AS147" si="224">V147+AP147</f>
        <v>8343</v>
      </c>
      <c r="AT147" s="212">
        <f t="shared" ref="AT147" si="225">AU147</f>
        <v>1000</v>
      </c>
      <c r="AU147" s="212">
        <f t="shared" ref="AU147" si="226">AH147+AP147</f>
        <v>1000</v>
      </c>
      <c r="AV147" s="212">
        <f>AW147+13250</f>
        <v>15750</v>
      </c>
      <c r="AW147" s="212">
        <v>2500</v>
      </c>
      <c r="AX147" s="212"/>
      <c r="AY147" s="212"/>
      <c r="AZ147" s="310" t="s">
        <v>934</v>
      </c>
      <c r="BA147" s="201"/>
    </row>
    <row r="148" spans="1:53" s="270" customFormat="1" ht="39.950000000000003" customHeight="1">
      <c r="A148" s="209">
        <v>2</v>
      </c>
      <c r="B148" s="274" t="s">
        <v>416</v>
      </c>
      <c r="C148" s="649" t="s">
        <v>403</v>
      </c>
      <c r="D148" s="649"/>
      <c r="E148" s="310" t="s">
        <v>817</v>
      </c>
      <c r="F148" s="649"/>
      <c r="G148" s="272"/>
      <c r="H148" s="243" t="s">
        <v>367</v>
      </c>
      <c r="I148" s="315" t="s">
        <v>682</v>
      </c>
      <c r="J148" s="212">
        <v>9500</v>
      </c>
      <c r="K148" s="212">
        <v>9500</v>
      </c>
      <c r="L148" s="212"/>
      <c r="M148" s="212"/>
      <c r="N148" s="212"/>
      <c r="O148" s="212"/>
      <c r="P148" s="212">
        <f t="shared" ref="P148:Q150" si="227">L148+W148</f>
        <v>124</v>
      </c>
      <c r="Q148" s="212">
        <f t="shared" si="227"/>
        <v>124</v>
      </c>
      <c r="R148" s="212">
        <f>S148</f>
        <v>9500</v>
      </c>
      <c r="S148" s="212">
        <v>9500</v>
      </c>
      <c r="T148" s="212"/>
      <c r="U148" s="212"/>
      <c r="V148" s="212">
        <v>124</v>
      </c>
      <c r="W148" s="212">
        <v>124</v>
      </c>
      <c r="X148" s="212">
        <v>124</v>
      </c>
      <c r="Y148" s="212"/>
      <c r="Z148" s="212"/>
      <c r="AA148" s="212"/>
      <c r="AB148" s="212"/>
      <c r="AC148" s="212"/>
      <c r="AD148" s="212">
        <f>AB148/S148*100</f>
        <v>0</v>
      </c>
      <c r="AE148" s="212"/>
      <c r="AF148" s="212"/>
      <c r="AG148" s="212">
        <f t="shared" si="201"/>
        <v>124</v>
      </c>
      <c r="AH148" s="212">
        <f t="shared" si="202"/>
        <v>124</v>
      </c>
      <c r="AI148" s="212"/>
      <c r="AJ148" s="212"/>
      <c r="AK148" s="212">
        <f t="shared" si="203"/>
        <v>3500</v>
      </c>
      <c r="AL148" s="212">
        <f t="shared" si="204"/>
        <v>3500</v>
      </c>
      <c r="AM148" s="212">
        <f t="shared" si="205"/>
        <v>0</v>
      </c>
      <c r="AN148" s="212"/>
      <c r="AO148" s="212">
        <f>AP148</f>
        <v>3500</v>
      </c>
      <c r="AP148" s="212">
        <v>3500</v>
      </c>
      <c r="AQ148" s="212"/>
      <c r="AR148" s="212"/>
      <c r="AS148" s="212">
        <f t="shared" ref="AS148" si="228">V148+AP148</f>
        <v>3624</v>
      </c>
      <c r="AT148" s="212">
        <f t="shared" ref="AT148" si="229">AU148</f>
        <v>3624</v>
      </c>
      <c r="AU148" s="212">
        <f t="shared" ref="AU148" si="230">AH148+AP148</f>
        <v>3624</v>
      </c>
      <c r="AV148" s="212">
        <f t="shared" ref="AV148" si="231">AW148</f>
        <v>3000</v>
      </c>
      <c r="AW148" s="212">
        <v>3000</v>
      </c>
      <c r="AX148" s="212"/>
      <c r="AY148" s="212"/>
      <c r="AZ148" s="315"/>
      <c r="BA148" s="279"/>
    </row>
    <row r="149" spans="1:53" s="270" customFormat="1" ht="43.5" customHeight="1">
      <c r="A149" s="209">
        <v>3</v>
      </c>
      <c r="B149" s="547" t="s">
        <v>670</v>
      </c>
      <c r="C149" s="649" t="s">
        <v>403</v>
      </c>
      <c r="D149" s="649"/>
      <c r="E149" s="310" t="s">
        <v>817</v>
      </c>
      <c r="F149" s="649"/>
      <c r="G149" s="272"/>
      <c r="H149" s="243" t="s">
        <v>784</v>
      </c>
      <c r="I149" s="315" t="s">
        <v>671</v>
      </c>
      <c r="J149" s="492">
        <v>5350</v>
      </c>
      <c r="K149" s="492">
        <v>5350</v>
      </c>
      <c r="L149" s="212"/>
      <c r="M149" s="212"/>
      <c r="N149" s="212"/>
      <c r="O149" s="212"/>
      <c r="P149" s="212">
        <f t="shared" si="227"/>
        <v>91</v>
      </c>
      <c r="Q149" s="212">
        <f t="shared" si="227"/>
        <v>91</v>
      </c>
      <c r="R149" s="212">
        <f>S149</f>
        <v>5350</v>
      </c>
      <c r="S149" s="212">
        <v>5350</v>
      </c>
      <c r="T149" s="212"/>
      <c r="U149" s="212"/>
      <c r="V149" s="212">
        <v>91</v>
      </c>
      <c r="W149" s="212">
        <v>91</v>
      </c>
      <c r="X149" s="212">
        <v>91</v>
      </c>
      <c r="Y149" s="212"/>
      <c r="Z149" s="212"/>
      <c r="AA149" s="212"/>
      <c r="AB149" s="212"/>
      <c r="AC149" s="212"/>
      <c r="AD149" s="212"/>
      <c r="AE149" s="212"/>
      <c r="AF149" s="212"/>
      <c r="AG149" s="212">
        <f t="shared" si="201"/>
        <v>91</v>
      </c>
      <c r="AH149" s="212">
        <f t="shared" si="202"/>
        <v>91</v>
      </c>
      <c r="AI149" s="212"/>
      <c r="AJ149" s="212"/>
      <c r="AK149" s="212">
        <f t="shared" si="203"/>
        <v>1500</v>
      </c>
      <c r="AL149" s="212">
        <f t="shared" si="204"/>
        <v>1500</v>
      </c>
      <c r="AM149" s="212">
        <f t="shared" si="205"/>
        <v>0</v>
      </c>
      <c r="AN149" s="212"/>
      <c r="AO149" s="212">
        <f>AP149</f>
        <v>1500</v>
      </c>
      <c r="AP149" s="212">
        <v>1500</v>
      </c>
      <c r="AQ149" s="212"/>
      <c r="AR149" s="212"/>
      <c r="AS149" s="212">
        <f t="shared" ref="AS149:AS150" si="232">V149+AP149</f>
        <v>1591</v>
      </c>
      <c r="AT149" s="212">
        <f t="shared" ref="AT149:AT150" si="233">AU149</f>
        <v>1591</v>
      </c>
      <c r="AU149" s="212">
        <f t="shared" ref="AU149:AU150" si="234">AH149+AP149</f>
        <v>1591</v>
      </c>
      <c r="AV149" s="212">
        <f t="shared" ref="AV149:AV150" si="235">AW149</f>
        <v>3750</v>
      </c>
      <c r="AW149" s="212">
        <v>3750</v>
      </c>
      <c r="AX149" s="212"/>
      <c r="AY149" s="212"/>
      <c r="AZ149" s="315"/>
      <c r="BA149" s="279">
        <f>AW149</f>
        <v>3750</v>
      </c>
    </row>
    <row r="150" spans="1:53" s="262" customFormat="1" ht="44.45" customHeight="1">
      <c r="A150" s="209">
        <v>4</v>
      </c>
      <c r="B150" s="288" t="s">
        <v>418</v>
      </c>
      <c r="C150" s="260" t="s">
        <v>410</v>
      </c>
      <c r="D150" s="260"/>
      <c r="E150" s="310" t="s">
        <v>817</v>
      </c>
      <c r="F150" s="260"/>
      <c r="G150" s="243"/>
      <c r="H150" s="243" t="s">
        <v>367</v>
      </c>
      <c r="I150" s="619" t="s">
        <v>669</v>
      </c>
      <c r="J150" s="489">
        <f>K150</f>
        <v>25000</v>
      </c>
      <c r="K150" s="489">
        <v>25000</v>
      </c>
      <c r="L150" s="212"/>
      <c r="M150" s="212"/>
      <c r="N150" s="212"/>
      <c r="O150" s="212"/>
      <c r="P150" s="212">
        <f t="shared" si="227"/>
        <v>0</v>
      </c>
      <c r="Q150" s="212">
        <f t="shared" si="227"/>
        <v>0</v>
      </c>
      <c r="R150" s="212">
        <f>S150</f>
        <v>22500</v>
      </c>
      <c r="S150" s="212">
        <v>22500</v>
      </c>
      <c r="T150" s="212"/>
      <c r="U150" s="212"/>
      <c r="V150" s="212"/>
      <c r="W150" s="212"/>
      <c r="X150" s="212"/>
      <c r="Y150" s="212"/>
      <c r="Z150" s="212"/>
      <c r="AA150" s="212">
        <v>300</v>
      </c>
      <c r="AB150" s="212">
        <v>300</v>
      </c>
      <c r="AC150" s="212"/>
      <c r="AD150" s="212"/>
      <c r="AE150" s="212"/>
      <c r="AF150" s="212"/>
      <c r="AG150" s="212">
        <f t="shared" si="201"/>
        <v>300</v>
      </c>
      <c r="AH150" s="212">
        <f t="shared" si="202"/>
        <v>300</v>
      </c>
      <c r="AI150" s="212"/>
      <c r="AJ150" s="212"/>
      <c r="AK150" s="212">
        <f t="shared" si="203"/>
        <v>5500</v>
      </c>
      <c r="AL150" s="212">
        <f t="shared" si="204"/>
        <v>5500</v>
      </c>
      <c r="AM150" s="212">
        <f t="shared" si="205"/>
        <v>0</v>
      </c>
      <c r="AN150" s="212"/>
      <c r="AO150" s="212">
        <f>AP150</f>
        <v>5500</v>
      </c>
      <c r="AP150" s="212">
        <v>5500</v>
      </c>
      <c r="AQ150" s="212"/>
      <c r="AR150" s="212"/>
      <c r="AS150" s="212">
        <f t="shared" si="232"/>
        <v>5500</v>
      </c>
      <c r="AT150" s="212">
        <f t="shared" si="233"/>
        <v>5800</v>
      </c>
      <c r="AU150" s="212">
        <f t="shared" si="234"/>
        <v>5800</v>
      </c>
      <c r="AV150" s="212">
        <f t="shared" si="235"/>
        <v>10000</v>
      </c>
      <c r="AW150" s="212">
        <v>10000</v>
      </c>
      <c r="AX150" s="212"/>
      <c r="AY150" s="212"/>
      <c r="AZ150" s="570"/>
      <c r="BA150" s="201"/>
    </row>
    <row r="151" spans="1:53" s="251" customFormat="1" ht="27.95" customHeight="1">
      <c r="A151" s="213" t="s">
        <v>279</v>
      </c>
      <c r="B151" s="316" t="s">
        <v>901</v>
      </c>
      <c r="C151" s="317"/>
      <c r="D151" s="317"/>
      <c r="E151" s="317"/>
      <c r="F151" s="317"/>
      <c r="G151" s="317"/>
      <c r="H151" s="317"/>
      <c r="I151" s="217"/>
      <c r="J151" s="215">
        <f>J152</f>
        <v>11217</v>
      </c>
      <c r="K151" s="215">
        <f t="shared" ref="K151:AW151" si="236">K152</f>
        <v>11217</v>
      </c>
      <c r="L151" s="215">
        <f t="shared" si="236"/>
        <v>0</v>
      </c>
      <c r="M151" s="215">
        <f t="shared" si="236"/>
        <v>0</v>
      </c>
      <c r="N151" s="215">
        <f t="shared" si="236"/>
        <v>0</v>
      </c>
      <c r="O151" s="215">
        <f t="shared" si="236"/>
        <v>0</v>
      </c>
      <c r="P151" s="215">
        <f t="shared" si="236"/>
        <v>0</v>
      </c>
      <c r="Q151" s="215">
        <f t="shared" si="236"/>
        <v>0</v>
      </c>
      <c r="R151" s="215">
        <f t="shared" si="236"/>
        <v>11217</v>
      </c>
      <c r="S151" s="215">
        <f t="shared" si="236"/>
        <v>11217</v>
      </c>
      <c r="T151" s="215">
        <f t="shared" si="236"/>
        <v>0</v>
      </c>
      <c r="U151" s="215">
        <f t="shared" si="236"/>
        <v>0</v>
      </c>
      <c r="V151" s="215">
        <f t="shared" si="236"/>
        <v>0</v>
      </c>
      <c r="W151" s="215">
        <f t="shared" si="236"/>
        <v>0</v>
      </c>
      <c r="X151" s="215">
        <f t="shared" si="236"/>
        <v>0</v>
      </c>
      <c r="Y151" s="215">
        <f t="shared" si="236"/>
        <v>0</v>
      </c>
      <c r="Z151" s="215">
        <f t="shared" si="236"/>
        <v>0</v>
      </c>
      <c r="AA151" s="215">
        <f t="shared" si="236"/>
        <v>0</v>
      </c>
      <c r="AB151" s="215">
        <f t="shared" si="236"/>
        <v>0</v>
      </c>
      <c r="AC151" s="215">
        <f t="shared" si="236"/>
        <v>0</v>
      </c>
      <c r="AD151" s="215">
        <f t="shared" si="236"/>
        <v>0</v>
      </c>
      <c r="AE151" s="215">
        <f t="shared" si="236"/>
        <v>0</v>
      </c>
      <c r="AF151" s="215">
        <f t="shared" si="236"/>
        <v>0</v>
      </c>
      <c r="AG151" s="215">
        <f t="shared" si="236"/>
        <v>0</v>
      </c>
      <c r="AH151" s="215">
        <f t="shared" si="236"/>
        <v>0</v>
      </c>
      <c r="AI151" s="215"/>
      <c r="AJ151" s="215"/>
      <c r="AK151" s="215">
        <f t="shared" si="236"/>
        <v>0</v>
      </c>
      <c r="AL151" s="215">
        <f t="shared" si="236"/>
        <v>0</v>
      </c>
      <c r="AM151" s="215">
        <f t="shared" si="236"/>
        <v>0</v>
      </c>
      <c r="AN151" s="215">
        <f t="shared" si="236"/>
        <v>0</v>
      </c>
      <c r="AO151" s="215">
        <f t="shared" si="236"/>
        <v>0</v>
      </c>
      <c r="AP151" s="215">
        <f t="shared" si="236"/>
        <v>0</v>
      </c>
      <c r="AQ151" s="215">
        <f t="shared" si="236"/>
        <v>0</v>
      </c>
      <c r="AR151" s="215">
        <f t="shared" si="236"/>
        <v>0</v>
      </c>
      <c r="AS151" s="215">
        <f t="shared" si="236"/>
        <v>0</v>
      </c>
      <c r="AT151" s="215">
        <f t="shared" si="236"/>
        <v>0</v>
      </c>
      <c r="AU151" s="215">
        <f t="shared" si="236"/>
        <v>0</v>
      </c>
      <c r="AV151" s="215">
        <f t="shared" si="236"/>
        <v>3593</v>
      </c>
      <c r="AW151" s="215">
        <f t="shared" si="236"/>
        <v>3593</v>
      </c>
      <c r="AX151" s="215"/>
      <c r="AY151" s="215"/>
      <c r="AZ151" s="317"/>
      <c r="BA151" s="232"/>
    </row>
    <row r="152" spans="1:53" s="251" customFormat="1" ht="22.5" customHeight="1">
      <c r="A152" s="275" t="s">
        <v>35</v>
      </c>
      <c r="B152" s="236" t="s">
        <v>45</v>
      </c>
      <c r="C152" s="317"/>
      <c r="D152" s="317"/>
      <c r="E152" s="317"/>
      <c r="F152" s="317"/>
      <c r="G152" s="317"/>
      <c r="H152" s="317"/>
      <c r="I152" s="217"/>
      <c r="J152" s="215">
        <f t="shared" ref="J152:AW152" si="237">SUM(J153:J153)</f>
        <v>11217</v>
      </c>
      <c r="K152" s="215">
        <f t="shared" si="237"/>
        <v>11217</v>
      </c>
      <c r="L152" s="215">
        <f t="shared" si="237"/>
        <v>0</v>
      </c>
      <c r="M152" s="215">
        <f t="shared" si="237"/>
        <v>0</v>
      </c>
      <c r="N152" s="215">
        <f t="shared" si="237"/>
        <v>0</v>
      </c>
      <c r="O152" s="215">
        <f t="shared" si="237"/>
        <v>0</v>
      </c>
      <c r="P152" s="215">
        <f t="shared" si="237"/>
        <v>0</v>
      </c>
      <c r="Q152" s="215">
        <f t="shared" si="237"/>
        <v>0</v>
      </c>
      <c r="R152" s="215">
        <f t="shared" si="237"/>
        <v>11217</v>
      </c>
      <c r="S152" s="215">
        <f t="shared" si="237"/>
        <v>11217</v>
      </c>
      <c r="T152" s="215">
        <f t="shared" si="237"/>
        <v>0</v>
      </c>
      <c r="U152" s="215">
        <f t="shared" si="237"/>
        <v>0</v>
      </c>
      <c r="V152" s="215">
        <f t="shared" si="237"/>
        <v>0</v>
      </c>
      <c r="W152" s="215">
        <f t="shared" si="237"/>
        <v>0</v>
      </c>
      <c r="X152" s="215">
        <f t="shared" si="237"/>
        <v>0</v>
      </c>
      <c r="Y152" s="215">
        <f t="shared" si="237"/>
        <v>0</v>
      </c>
      <c r="Z152" s="215">
        <f t="shared" si="237"/>
        <v>0</v>
      </c>
      <c r="AA152" s="215">
        <f t="shared" si="237"/>
        <v>0</v>
      </c>
      <c r="AB152" s="215">
        <f t="shared" si="237"/>
        <v>0</v>
      </c>
      <c r="AC152" s="215">
        <f t="shared" si="237"/>
        <v>0</v>
      </c>
      <c r="AD152" s="215">
        <f t="shared" si="237"/>
        <v>0</v>
      </c>
      <c r="AE152" s="215">
        <f t="shared" si="237"/>
        <v>0</v>
      </c>
      <c r="AF152" s="215">
        <f t="shared" si="237"/>
        <v>0</v>
      </c>
      <c r="AG152" s="215">
        <f t="shared" si="237"/>
        <v>0</v>
      </c>
      <c r="AH152" s="215">
        <f t="shared" si="237"/>
        <v>0</v>
      </c>
      <c r="AI152" s="215">
        <f t="shared" si="237"/>
        <v>0</v>
      </c>
      <c r="AJ152" s="215">
        <f t="shared" si="237"/>
        <v>0</v>
      </c>
      <c r="AK152" s="215">
        <f t="shared" si="237"/>
        <v>0</v>
      </c>
      <c r="AL152" s="215">
        <f t="shared" si="237"/>
        <v>0</v>
      </c>
      <c r="AM152" s="215">
        <f t="shared" si="237"/>
        <v>0</v>
      </c>
      <c r="AN152" s="215">
        <f t="shared" si="237"/>
        <v>0</v>
      </c>
      <c r="AO152" s="215">
        <f t="shared" si="237"/>
        <v>0</v>
      </c>
      <c r="AP152" s="215">
        <f t="shared" si="237"/>
        <v>0</v>
      </c>
      <c r="AQ152" s="215">
        <f t="shared" si="237"/>
        <v>0</v>
      </c>
      <c r="AR152" s="215">
        <f t="shared" si="237"/>
        <v>0</v>
      </c>
      <c r="AS152" s="215">
        <f t="shared" si="237"/>
        <v>0</v>
      </c>
      <c r="AT152" s="215">
        <f t="shared" si="237"/>
        <v>0</v>
      </c>
      <c r="AU152" s="215">
        <f t="shared" si="237"/>
        <v>0</v>
      </c>
      <c r="AV152" s="215">
        <f t="shared" si="237"/>
        <v>3593</v>
      </c>
      <c r="AW152" s="215">
        <f t="shared" si="237"/>
        <v>3593</v>
      </c>
      <c r="AX152" s="215"/>
      <c r="AY152" s="215"/>
      <c r="AZ152" s="317"/>
      <c r="BA152" s="232"/>
    </row>
    <row r="153" spans="1:53" s="262" customFormat="1" ht="50.25" customHeight="1">
      <c r="A153" s="209">
        <v>1</v>
      </c>
      <c r="B153" s="271" t="s">
        <v>417</v>
      </c>
      <c r="C153" s="260" t="s">
        <v>410</v>
      </c>
      <c r="D153" s="260"/>
      <c r="E153" s="310" t="s">
        <v>817</v>
      </c>
      <c r="F153" s="260"/>
      <c r="G153" s="243"/>
      <c r="H153" s="243"/>
      <c r="I153" s="248"/>
      <c r="J153" s="212">
        <f>K153</f>
        <v>11217</v>
      </c>
      <c r="K153" s="212">
        <v>11217</v>
      </c>
      <c r="L153" s="212"/>
      <c r="M153" s="212"/>
      <c r="N153" s="212"/>
      <c r="O153" s="212"/>
      <c r="P153" s="212">
        <f t="shared" ref="P153:Q153" si="238">L153+W153</f>
        <v>0</v>
      </c>
      <c r="Q153" s="212">
        <f t="shared" si="238"/>
        <v>0</v>
      </c>
      <c r="R153" s="212">
        <f>+S153</f>
        <v>11217</v>
      </c>
      <c r="S153" s="212">
        <v>11217</v>
      </c>
      <c r="T153" s="212"/>
      <c r="U153" s="212"/>
      <c r="V153" s="212"/>
      <c r="W153" s="212"/>
      <c r="X153" s="212"/>
      <c r="Y153" s="212"/>
      <c r="Z153" s="212"/>
      <c r="AA153" s="212"/>
      <c r="AB153" s="212"/>
      <c r="AC153" s="212"/>
      <c r="AD153" s="212"/>
      <c r="AE153" s="212"/>
      <c r="AF153" s="212"/>
      <c r="AG153" s="215">
        <f t="shared" ref="AG153:AH153" si="239">W153+AA153</f>
        <v>0</v>
      </c>
      <c r="AH153" s="215">
        <f t="shared" si="239"/>
        <v>0</v>
      </c>
      <c r="AI153" s="215"/>
      <c r="AJ153" s="215"/>
      <c r="AK153" s="215">
        <f t="shared" ref="AK153:AN153" si="240">AO153</f>
        <v>0</v>
      </c>
      <c r="AL153" s="215">
        <f t="shared" si="240"/>
        <v>0</v>
      </c>
      <c r="AM153" s="215">
        <f t="shared" si="240"/>
        <v>0</v>
      </c>
      <c r="AN153" s="215">
        <f t="shared" si="240"/>
        <v>0</v>
      </c>
      <c r="AO153" s="212">
        <f>AP153</f>
        <v>0</v>
      </c>
      <c r="AP153" s="212"/>
      <c r="AQ153" s="212"/>
      <c r="AR153" s="212"/>
      <c r="AS153" s="212"/>
      <c r="AT153" s="212"/>
      <c r="AU153" s="212"/>
      <c r="AV153" s="212">
        <f>AW153</f>
        <v>3593</v>
      </c>
      <c r="AW153" s="212">
        <v>3593</v>
      </c>
      <c r="AX153" s="212"/>
      <c r="AY153" s="212"/>
      <c r="AZ153" s="261" t="s">
        <v>907</v>
      </c>
      <c r="BA153" s="201"/>
    </row>
    <row r="154" spans="1:53" ht="23.25" customHeight="1">
      <c r="A154" s="209"/>
      <c r="B154" s="307"/>
      <c r="C154" s="310"/>
      <c r="D154" s="310"/>
      <c r="E154" s="310"/>
      <c r="F154" s="310"/>
      <c r="G154" s="310"/>
      <c r="H154" s="310"/>
      <c r="I154" s="211"/>
      <c r="J154" s="212"/>
      <c r="K154" s="295"/>
      <c r="L154" s="212"/>
      <c r="M154" s="212"/>
      <c r="N154" s="212"/>
      <c r="O154" s="212"/>
      <c r="P154" s="212"/>
      <c r="Q154" s="212"/>
      <c r="R154" s="295"/>
      <c r="S154" s="212"/>
      <c r="T154" s="212"/>
      <c r="U154" s="212"/>
      <c r="V154" s="212"/>
      <c r="W154" s="212"/>
      <c r="X154" s="212"/>
      <c r="Y154" s="212"/>
      <c r="Z154" s="212"/>
      <c r="AA154" s="212"/>
      <c r="AB154" s="212"/>
      <c r="AC154" s="212"/>
      <c r="AD154" s="212"/>
      <c r="AE154" s="212"/>
      <c r="AF154" s="212"/>
      <c r="AG154" s="215"/>
      <c r="AH154" s="215"/>
      <c r="AI154" s="215"/>
      <c r="AJ154" s="215"/>
      <c r="AK154" s="215"/>
      <c r="AL154" s="215"/>
      <c r="AM154" s="215"/>
      <c r="AN154" s="215"/>
      <c r="AO154" s="212"/>
      <c r="AP154" s="212"/>
      <c r="AQ154" s="212"/>
      <c r="AR154" s="212"/>
      <c r="AS154" s="212"/>
      <c r="AT154" s="212"/>
      <c r="AU154" s="212"/>
      <c r="AV154" s="212"/>
      <c r="AW154" s="212"/>
      <c r="AX154" s="212"/>
      <c r="AY154" s="212"/>
      <c r="AZ154" s="310"/>
    </row>
    <row r="155" spans="1:53" ht="14.1" hidden="1" customHeight="1">
      <c r="A155" s="209">
        <v>12</v>
      </c>
      <c r="B155" s="267" t="s">
        <v>419</v>
      </c>
      <c r="C155" s="260" t="s">
        <v>410</v>
      </c>
      <c r="D155" s="260"/>
      <c r="E155" s="260"/>
      <c r="F155" s="260"/>
      <c r="G155" s="243"/>
      <c r="H155" s="243"/>
      <c r="I155" s="248"/>
      <c r="J155" s="212"/>
      <c r="K155" s="212"/>
      <c r="L155" s="212"/>
      <c r="M155" s="212"/>
      <c r="N155" s="212"/>
      <c r="O155" s="212"/>
      <c r="P155" s="212">
        <f t="shared" ref="P155:Q158" si="241">L155+W155</f>
        <v>0</v>
      </c>
      <c r="Q155" s="212">
        <f t="shared" si="241"/>
        <v>0</v>
      </c>
      <c r="R155" s="212">
        <v>5000</v>
      </c>
      <c r="S155" s="212">
        <v>5000</v>
      </c>
      <c r="T155" s="212"/>
      <c r="U155" s="212"/>
      <c r="V155" s="212"/>
      <c r="W155" s="212"/>
      <c r="X155" s="212"/>
      <c r="Y155" s="212"/>
      <c r="Z155" s="212"/>
      <c r="AA155" s="212"/>
      <c r="AB155" s="212"/>
      <c r="AC155" s="212"/>
      <c r="AD155" s="212"/>
      <c r="AE155" s="212"/>
      <c r="AF155" s="212"/>
      <c r="AG155" s="215">
        <f t="shared" si="201"/>
        <v>0</v>
      </c>
      <c r="AH155" s="215">
        <f t="shared" si="202"/>
        <v>0</v>
      </c>
      <c r="AI155" s="215"/>
      <c r="AJ155" s="215"/>
      <c r="AK155" s="215">
        <f t="shared" si="203"/>
        <v>0</v>
      </c>
      <c r="AL155" s="215">
        <f t="shared" si="204"/>
        <v>0</v>
      </c>
      <c r="AM155" s="215">
        <f t="shared" si="205"/>
        <v>0</v>
      </c>
      <c r="AN155" s="215">
        <f t="shared" si="206"/>
        <v>0</v>
      </c>
      <c r="AO155" s="212"/>
      <c r="AP155" s="212"/>
      <c r="AQ155" s="212"/>
      <c r="AR155" s="212"/>
      <c r="AS155" s="212"/>
      <c r="AT155" s="212"/>
      <c r="AU155" s="212"/>
      <c r="AV155" s="212"/>
      <c r="AW155" s="212"/>
      <c r="AX155" s="212"/>
      <c r="AY155" s="212"/>
      <c r="AZ155" s="261"/>
    </row>
    <row r="156" spans="1:53" ht="60" hidden="1">
      <c r="A156" s="209">
        <v>14</v>
      </c>
      <c r="B156" s="267" t="s">
        <v>420</v>
      </c>
      <c r="C156" s="260" t="s">
        <v>410</v>
      </c>
      <c r="D156" s="260"/>
      <c r="E156" s="260"/>
      <c r="F156" s="260"/>
      <c r="G156" s="243"/>
      <c r="H156" s="243"/>
      <c r="I156" s="248"/>
      <c r="J156" s="212"/>
      <c r="K156" s="212"/>
      <c r="L156" s="212"/>
      <c r="M156" s="212"/>
      <c r="N156" s="212"/>
      <c r="O156" s="212"/>
      <c r="P156" s="212">
        <f t="shared" si="241"/>
        <v>0</v>
      </c>
      <c r="Q156" s="212">
        <f t="shared" si="241"/>
        <v>0</v>
      </c>
      <c r="R156" s="212">
        <v>3000</v>
      </c>
      <c r="S156" s="212">
        <f>R156</f>
        <v>3000</v>
      </c>
      <c r="T156" s="212"/>
      <c r="U156" s="212"/>
      <c r="V156" s="212"/>
      <c r="W156" s="212"/>
      <c r="X156" s="212"/>
      <c r="Y156" s="212"/>
      <c r="Z156" s="212"/>
      <c r="AA156" s="212"/>
      <c r="AB156" s="212"/>
      <c r="AC156" s="212"/>
      <c r="AD156" s="212"/>
      <c r="AE156" s="212"/>
      <c r="AF156" s="212"/>
      <c r="AG156" s="215">
        <f t="shared" si="201"/>
        <v>0</v>
      </c>
      <c r="AH156" s="215">
        <f t="shared" si="202"/>
        <v>0</v>
      </c>
      <c r="AI156" s="215"/>
      <c r="AJ156" s="215"/>
      <c r="AK156" s="215">
        <f t="shared" si="203"/>
        <v>0</v>
      </c>
      <c r="AL156" s="215">
        <f t="shared" si="204"/>
        <v>0</v>
      </c>
      <c r="AM156" s="215">
        <f t="shared" si="205"/>
        <v>0</v>
      </c>
      <c r="AN156" s="215">
        <f t="shared" si="206"/>
        <v>0</v>
      </c>
      <c r="AO156" s="212"/>
      <c r="AP156" s="212"/>
      <c r="AQ156" s="212"/>
      <c r="AR156" s="212"/>
      <c r="AS156" s="212"/>
      <c r="AT156" s="212"/>
      <c r="AU156" s="212"/>
      <c r="AV156" s="212"/>
      <c r="AW156" s="212"/>
      <c r="AX156" s="212"/>
      <c r="AY156" s="212"/>
      <c r="AZ156" s="261" t="s">
        <v>421</v>
      </c>
    </row>
    <row r="157" spans="1:53" ht="14.1" hidden="1" customHeight="1">
      <c r="A157" s="209">
        <v>15</v>
      </c>
      <c r="B157" s="271" t="s">
        <v>422</v>
      </c>
      <c r="C157" s="260" t="s">
        <v>410</v>
      </c>
      <c r="D157" s="260"/>
      <c r="E157" s="260"/>
      <c r="F157" s="260"/>
      <c r="G157" s="243"/>
      <c r="H157" s="243"/>
      <c r="I157" s="248"/>
      <c r="J157" s="212"/>
      <c r="K157" s="212"/>
      <c r="L157" s="212"/>
      <c r="M157" s="212"/>
      <c r="N157" s="212"/>
      <c r="O157" s="212"/>
      <c r="P157" s="212">
        <f t="shared" si="241"/>
        <v>0</v>
      </c>
      <c r="Q157" s="212">
        <f t="shared" si="241"/>
        <v>0</v>
      </c>
      <c r="R157" s="212">
        <v>3500</v>
      </c>
      <c r="S157" s="212">
        <f>R157</f>
        <v>3500</v>
      </c>
      <c r="T157" s="212"/>
      <c r="U157" s="212"/>
      <c r="V157" s="212"/>
      <c r="W157" s="212"/>
      <c r="X157" s="212"/>
      <c r="Y157" s="212"/>
      <c r="Z157" s="212"/>
      <c r="AA157" s="212"/>
      <c r="AB157" s="212"/>
      <c r="AC157" s="212"/>
      <c r="AD157" s="212"/>
      <c r="AE157" s="212"/>
      <c r="AF157" s="212"/>
      <c r="AG157" s="215">
        <f t="shared" si="201"/>
        <v>0</v>
      </c>
      <c r="AH157" s="215">
        <f t="shared" si="202"/>
        <v>0</v>
      </c>
      <c r="AI157" s="215"/>
      <c r="AJ157" s="215"/>
      <c r="AK157" s="215">
        <f t="shared" si="203"/>
        <v>0</v>
      </c>
      <c r="AL157" s="215">
        <f t="shared" si="204"/>
        <v>0</v>
      </c>
      <c r="AM157" s="215">
        <f t="shared" si="205"/>
        <v>0</v>
      </c>
      <c r="AN157" s="215">
        <f t="shared" si="206"/>
        <v>0</v>
      </c>
      <c r="AO157" s="212"/>
      <c r="AP157" s="212"/>
      <c r="AQ157" s="212"/>
      <c r="AR157" s="212"/>
      <c r="AS157" s="212"/>
      <c r="AT157" s="212"/>
      <c r="AU157" s="212"/>
      <c r="AV157" s="212"/>
      <c r="AW157" s="212"/>
      <c r="AX157" s="212"/>
      <c r="AY157" s="212"/>
      <c r="AZ157" s="261"/>
    </row>
    <row r="158" spans="1:53" ht="27.95" hidden="1" customHeight="1">
      <c r="A158" s="209">
        <v>17</v>
      </c>
      <c r="B158" s="318" t="s">
        <v>423</v>
      </c>
      <c r="C158" s="260" t="s">
        <v>410</v>
      </c>
      <c r="D158" s="260"/>
      <c r="E158" s="260"/>
      <c r="F158" s="260"/>
      <c r="G158" s="243"/>
      <c r="H158" s="243" t="s">
        <v>380</v>
      </c>
      <c r="I158" s="248"/>
      <c r="J158" s="212"/>
      <c r="K158" s="212" t="s">
        <v>311</v>
      </c>
      <c r="L158" s="212"/>
      <c r="M158" s="212"/>
      <c r="N158" s="212"/>
      <c r="O158" s="212"/>
      <c r="P158" s="212">
        <f t="shared" si="241"/>
        <v>0</v>
      </c>
      <c r="Q158" s="212">
        <f t="shared" si="241"/>
        <v>0</v>
      </c>
      <c r="R158" s="212"/>
      <c r="S158" s="212"/>
      <c r="T158" s="212"/>
      <c r="U158" s="212"/>
      <c r="V158" s="212"/>
      <c r="W158" s="212"/>
      <c r="X158" s="212"/>
      <c r="Y158" s="212"/>
      <c r="Z158" s="212"/>
      <c r="AA158" s="212"/>
      <c r="AB158" s="212"/>
      <c r="AC158" s="212"/>
      <c r="AD158" s="212"/>
      <c r="AE158" s="212"/>
      <c r="AF158" s="212"/>
      <c r="AG158" s="215">
        <f t="shared" si="201"/>
        <v>0</v>
      </c>
      <c r="AH158" s="215">
        <f t="shared" si="202"/>
        <v>0</v>
      </c>
      <c r="AI158" s="215"/>
      <c r="AJ158" s="215"/>
      <c r="AK158" s="215">
        <f t="shared" si="203"/>
        <v>0</v>
      </c>
      <c r="AL158" s="215">
        <f t="shared" si="204"/>
        <v>0</v>
      </c>
      <c r="AM158" s="215">
        <f t="shared" si="205"/>
        <v>0</v>
      </c>
      <c r="AN158" s="215">
        <f t="shared" si="206"/>
        <v>0</v>
      </c>
      <c r="AO158" s="212"/>
      <c r="AP158" s="212"/>
      <c r="AQ158" s="212"/>
      <c r="AR158" s="212"/>
      <c r="AS158" s="212"/>
      <c r="AT158" s="212"/>
      <c r="AU158" s="212"/>
      <c r="AV158" s="212"/>
      <c r="AW158" s="212"/>
      <c r="AX158" s="212"/>
      <c r="AY158" s="212"/>
      <c r="AZ158" s="261"/>
    </row>
    <row r="159" spans="1:53" ht="14.1" hidden="1" customHeight="1">
      <c r="A159" s="209"/>
      <c r="B159" s="267"/>
      <c r="C159" s="260"/>
      <c r="D159" s="260"/>
      <c r="E159" s="260"/>
      <c r="F159" s="260"/>
      <c r="G159" s="243" t="s">
        <v>311</v>
      </c>
      <c r="H159" s="243"/>
      <c r="I159" s="248"/>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5">
        <f t="shared" si="201"/>
        <v>0</v>
      </c>
      <c r="AH159" s="215">
        <f t="shared" si="202"/>
        <v>0</v>
      </c>
      <c r="AI159" s="215"/>
      <c r="AJ159" s="215"/>
      <c r="AK159" s="215">
        <f t="shared" si="203"/>
        <v>0</v>
      </c>
      <c r="AL159" s="215">
        <f t="shared" si="204"/>
        <v>0</v>
      </c>
      <c r="AM159" s="215">
        <f t="shared" si="205"/>
        <v>0</v>
      </c>
      <c r="AN159" s="215">
        <f t="shared" si="206"/>
        <v>0</v>
      </c>
      <c r="AO159" s="212"/>
      <c r="AP159" s="212"/>
      <c r="AQ159" s="212"/>
      <c r="AR159" s="212"/>
      <c r="AS159" s="212"/>
      <c r="AT159" s="212"/>
      <c r="AU159" s="212"/>
      <c r="AV159" s="212"/>
      <c r="AW159" s="212"/>
      <c r="AX159" s="212"/>
      <c r="AY159" s="212"/>
      <c r="AZ159" s="261"/>
    </row>
    <row r="160" spans="1:53" s="232" customFormat="1" ht="21" customHeight="1">
      <c r="A160" s="252"/>
      <c r="B160" s="228" t="s">
        <v>327</v>
      </c>
      <c r="C160" s="229"/>
      <c r="D160" s="229"/>
      <c r="E160" s="229"/>
      <c r="F160" s="229"/>
      <c r="G160" s="229"/>
      <c r="H160" s="229"/>
      <c r="I160" s="231"/>
      <c r="J160" s="215"/>
      <c r="K160" s="215"/>
      <c r="L160" s="215"/>
      <c r="M160" s="215"/>
      <c r="N160" s="215"/>
      <c r="O160" s="215"/>
      <c r="P160" s="212"/>
      <c r="Q160" s="212"/>
      <c r="R160" s="215"/>
      <c r="S160" s="215"/>
      <c r="T160" s="215"/>
      <c r="U160" s="215"/>
      <c r="V160" s="215"/>
      <c r="W160" s="215"/>
      <c r="X160" s="215"/>
      <c r="Y160" s="215"/>
      <c r="Z160" s="215"/>
      <c r="AA160" s="215"/>
      <c r="AB160" s="215">
        <v>20832</v>
      </c>
      <c r="AC160" s="215"/>
      <c r="AD160" s="215"/>
      <c r="AE160" s="215"/>
      <c r="AF160" s="215"/>
      <c r="AG160" s="215">
        <f t="shared" si="201"/>
        <v>0</v>
      </c>
      <c r="AH160" s="215"/>
      <c r="AI160" s="215"/>
      <c r="AJ160" s="215"/>
      <c r="AK160" s="215"/>
      <c r="AL160" s="215"/>
      <c r="AM160" s="215">
        <f t="shared" si="205"/>
        <v>0</v>
      </c>
      <c r="AN160" s="215">
        <f t="shared" si="206"/>
        <v>0</v>
      </c>
      <c r="AO160" s="215"/>
      <c r="AP160" s="215">
        <v>21840.463948867291</v>
      </c>
      <c r="AQ160" s="215"/>
      <c r="AR160" s="215"/>
      <c r="AS160" s="215"/>
      <c r="AT160" s="215"/>
      <c r="AU160" s="215"/>
      <c r="AV160" s="215"/>
      <c r="AW160" s="215">
        <v>25819</v>
      </c>
      <c r="AX160" s="215"/>
      <c r="AY160" s="215"/>
      <c r="AZ160" s="265"/>
    </row>
    <row r="161" spans="1:53" s="251" customFormat="1" ht="33.6" customHeight="1">
      <c r="A161" s="252" t="s">
        <v>138</v>
      </c>
      <c r="B161" s="253" t="s">
        <v>424</v>
      </c>
      <c r="C161" s="229"/>
      <c r="D161" s="229"/>
      <c r="E161" s="229"/>
      <c r="F161" s="229"/>
      <c r="G161" s="235"/>
      <c r="H161" s="229"/>
      <c r="I161" s="231"/>
      <c r="J161" s="215">
        <f t="shared" ref="J161:AY161" si="242">J162+J167+J175</f>
        <v>433838</v>
      </c>
      <c r="K161" s="215">
        <f t="shared" si="242"/>
        <v>100477</v>
      </c>
      <c r="L161" s="215">
        <f t="shared" si="242"/>
        <v>217569</v>
      </c>
      <c r="M161" s="215">
        <f t="shared" si="242"/>
        <v>0</v>
      </c>
      <c r="N161" s="215">
        <f t="shared" si="242"/>
        <v>0</v>
      </c>
      <c r="O161" s="215">
        <f t="shared" si="242"/>
        <v>0</v>
      </c>
      <c r="P161" s="215">
        <f t="shared" si="242"/>
        <v>218220</v>
      </c>
      <c r="Q161" s="215">
        <f t="shared" si="242"/>
        <v>651</v>
      </c>
      <c r="R161" s="215">
        <f t="shared" si="242"/>
        <v>160477</v>
      </c>
      <c r="S161" s="215">
        <f t="shared" si="242"/>
        <v>100477</v>
      </c>
      <c r="T161" s="215">
        <f t="shared" si="242"/>
        <v>0</v>
      </c>
      <c r="U161" s="215">
        <f t="shared" si="242"/>
        <v>0</v>
      </c>
      <c r="V161" s="215">
        <f t="shared" si="242"/>
        <v>51102</v>
      </c>
      <c r="W161" s="215">
        <f t="shared" si="242"/>
        <v>651</v>
      </c>
      <c r="X161" s="215">
        <f t="shared" si="242"/>
        <v>651</v>
      </c>
      <c r="Y161" s="215">
        <f t="shared" si="242"/>
        <v>0</v>
      </c>
      <c r="Z161" s="215">
        <f t="shared" si="242"/>
        <v>0</v>
      </c>
      <c r="AA161" s="215">
        <f t="shared" si="242"/>
        <v>17006</v>
      </c>
      <c r="AB161" s="215">
        <f t="shared" si="242"/>
        <v>17006</v>
      </c>
      <c r="AC161" s="215">
        <f t="shared" si="242"/>
        <v>0</v>
      </c>
      <c r="AD161" s="215">
        <f t="shared" si="242"/>
        <v>0</v>
      </c>
      <c r="AE161" s="215">
        <f t="shared" si="242"/>
        <v>2218.598</v>
      </c>
      <c r="AF161" s="215">
        <f t="shared" si="242"/>
        <v>7546.51</v>
      </c>
      <c r="AG161" s="215">
        <f t="shared" si="242"/>
        <v>17657</v>
      </c>
      <c r="AH161" s="215">
        <f t="shared" si="242"/>
        <v>17657</v>
      </c>
      <c r="AI161" s="215">
        <f t="shared" si="242"/>
        <v>0</v>
      </c>
      <c r="AJ161" s="215">
        <f t="shared" si="242"/>
        <v>0</v>
      </c>
      <c r="AK161" s="215">
        <f t="shared" si="242"/>
        <v>27850</v>
      </c>
      <c r="AL161" s="215">
        <f t="shared" si="242"/>
        <v>27850</v>
      </c>
      <c r="AM161" s="215">
        <f t="shared" si="242"/>
        <v>0</v>
      </c>
      <c r="AN161" s="215">
        <f t="shared" si="242"/>
        <v>0</v>
      </c>
      <c r="AO161" s="215">
        <f t="shared" si="242"/>
        <v>18991</v>
      </c>
      <c r="AP161" s="215">
        <f t="shared" si="242"/>
        <v>18991</v>
      </c>
      <c r="AQ161" s="215">
        <f t="shared" si="242"/>
        <v>0</v>
      </c>
      <c r="AR161" s="215">
        <f t="shared" si="242"/>
        <v>0</v>
      </c>
      <c r="AS161" s="215">
        <f t="shared" si="242"/>
        <v>70093</v>
      </c>
      <c r="AT161" s="215">
        <f t="shared" si="242"/>
        <v>36648</v>
      </c>
      <c r="AU161" s="215">
        <f t="shared" si="242"/>
        <v>36648</v>
      </c>
      <c r="AV161" s="215">
        <f t="shared" si="242"/>
        <v>25819</v>
      </c>
      <c r="AW161" s="215">
        <f t="shared" si="242"/>
        <v>25819</v>
      </c>
      <c r="AX161" s="215">
        <f t="shared" si="242"/>
        <v>0</v>
      </c>
      <c r="AY161" s="215">
        <f t="shared" si="242"/>
        <v>0</v>
      </c>
      <c r="AZ161" s="265"/>
      <c r="BA161" s="232"/>
    </row>
    <row r="162" spans="1:53" s="251" customFormat="1" ht="38.25" customHeight="1">
      <c r="A162" s="227" t="s">
        <v>33</v>
      </c>
      <c r="B162" s="234" t="s">
        <v>894</v>
      </c>
      <c r="C162" s="229"/>
      <c r="D162" s="229"/>
      <c r="E162" s="229"/>
      <c r="F162" s="229"/>
      <c r="G162" s="229"/>
      <c r="H162" s="229"/>
      <c r="I162" s="231"/>
      <c r="J162" s="215">
        <f>J163</f>
        <v>44178</v>
      </c>
      <c r="K162" s="215">
        <f t="shared" ref="K162:AY162" si="243">K163</f>
        <v>6117</v>
      </c>
      <c r="L162" s="215">
        <f t="shared" si="243"/>
        <v>0</v>
      </c>
      <c r="M162" s="215">
        <f t="shared" si="243"/>
        <v>0</v>
      </c>
      <c r="N162" s="215">
        <f t="shared" si="243"/>
        <v>0</v>
      </c>
      <c r="O162" s="215">
        <f t="shared" si="243"/>
        <v>0</v>
      </c>
      <c r="P162" s="215">
        <f t="shared" si="243"/>
        <v>0</v>
      </c>
      <c r="Q162" s="215">
        <f t="shared" si="243"/>
        <v>0</v>
      </c>
      <c r="R162" s="215">
        <f t="shared" si="243"/>
        <v>6117</v>
      </c>
      <c r="S162" s="215">
        <f t="shared" si="243"/>
        <v>6117</v>
      </c>
      <c r="T162" s="215">
        <f t="shared" si="243"/>
        <v>0</v>
      </c>
      <c r="U162" s="215">
        <f t="shared" si="243"/>
        <v>0</v>
      </c>
      <c r="V162" s="215">
        <f t="shared" si="243"/>
        <v>38061</v>
      </c>
      <c r="W162" s="215">
        <f t="shared" si="243"/>
        <v>0</v>
      </c>
      <c r="X162" s="215">
        <f t="shared" si="243"/>
        <v>0</v>
      </c>
      <c r="Y162" s="215">
        <f t="shared" si="243"/>
        <v>0</v>
      </c>
      <c r="Z162" s="215">
        <f t="shared" si="243"/>
        <v>0</v>
      </c>
      <c r="AA162" s="215">
        <f t="shared" si="243"/>
        <v>0</v>
      </c>
      <c r="AB162" s="215">
        <f t="shared" si="243"/>
        <v>0</v>
      </c>
      <c r="AC162" s="215">
        <f t="shared" si="243"/>
        <v>0</v>
      </c>
      <c r="AD162" s="215">
        <f t="shared" si="243"/>
        <v>0</v>
      </c>
      <c r="AE162" s="215">
        <f t="shared" si="243"/>
        <v>0</v>
      </c>
      <c r="AF162" s="215">
        <f t="shared" si="243"/>
        <v>0</v>
      </c>
      <c r="AG162" s="215">
        <f t="shared" si="243"/>
        <v>0</v>
      </c>
      <c r="AH162" s="215">
        <f t="shared" si="243"/>
        <v>0</v>
      </c>
      <c r="AI162" s="215"/>
      <c r="AJ162" s="215"/>
      <c r="AK162" s="215">
        <f t="shared" si="243"/>
        <v>0</v>
      </c>
      <c r="AL162" s="215">
        <f t="shared" si="243"/>
        <v>0</v>
      </c>
      <c r="AM162" s="215">
        <f t="shared" si="243"/>
        <v>0</v>
      </c>
      <c r="AN162" s="215">
        <f t="shared" si="243"/>
        <v>0</v>
      </c>
      <c r="AO162" s="215">
        <f t="shared" si="243"/>
        <v>2141</v>
      </c>
      <c r="AP162" s="215">
        <f t="shared" si="243"/>
        <v>2141</v>
      </c>
      <c r="AQ162" s="215">
        <f t="shared" si="243"/>
        <v>0</v>
      </c>
      <c r="AR162" s="215">
        <f t="shared" si="243"/>
        <v>0</v>
      </c>
      <c r="AS162" s="215">
        <f t="shared" si="243"/>
        <v>40202</v>
      </c>
      <c r="AT162" s="215">
        <f t="shared" si="243"/>
        <v>2141</v>
      </c>
      <c r="AU162" s="215">
        <f t="shared" si="243"/>
        <v>2141</v>
      </c>
      <c r="AV162" s="215">
        <f t="shared" si="243"/>
        <v>3976</v>
      </c>
      <c r="AW162" s="215">
        <f t="shared" si="243"/>
        <v>3976</v>
      </c>
      <c r="AX162" s="215">
        <f t="shared" si="243"/>
        <v>0</v>
      </c>
      <c r="AY162" s="215">
        <f t="shared" si="243"/>
        <v>0</v>
      </c>
      <c r="AZ162" s="229"/>
      <c r="BA162" s="232"/>
    </row>
    <row r="163" spans="1:53" s="232" customFormat="1" ht="38.25" customHeight="1">
      <c r="A163" s="275" t="s">
        <v>35</v>
      </c>
      <c r="B163" s="236" t="s">
        <v>43</v>
      </c>
      <c r="C163" s="229"/>
      <c r="D163" s="229"/>
      <c r="E163" s="229"/>
      <c r="F163" s="229"/>
      <c r="G163" s="229"/>
      <c r="H163" s="229"/>
      <c r="I163" s="231"/>
      <c r="J163" s="215">
        <f>J164</f>
        <v>44178</v>
      </c>
      <c r="K163" s="215">
        <f t="shared" ref="K163:AY163" si="244">K164</f>
        <v>6117</v>
      </c>
      <c r="L163" s="215">
        <f t="shared" si="244"/>
        <v>0</v>
      </c>
      <c r="M163" s="215">
        <f t="shared" si="244"/>
        <v>0</v>
      </c>
      <c r="N163" s="215">
        <f t="shared" si="244"/>
        <v>0</v>
      </c>
      <c r="O163" s="215">
        <f t="shared" si="244"/>
        <v>0</v>
      </c>
      <c r="P163" s="215">
        <f t="shared" si="244"/>
        <v>0</v>
      </c>
      <c r="Q163" s="215">
        <f t="shared" si="244"/>
        <v>0</v>
      </c>
      <c r="R163" s="215">
        <f t="shared" si="244"/>
        <v>6117</v>
      </c>
      <c r="S163" s="215">
        <f t="shared" si="244"/>
        <v>6117</v>
      </c>
      <c r="T163" s="215">
        <f t="shared" si="244"/>
        <v>0</v>
      </c>
      <c r="U163" s="215">
        <f t="shared" si="244"/>
        <v>0</v>
      </c>
      <c r="V163" s="215">
        <f t="shared" si="244"/>
        <v>38061</v>
      </c>
      <c r="W163" s="215">
        <f t="shared" si="244"/>
        <v>0</v>
      </c>
      <c r="X163" s="215">
        <f t="shared" si="244"/>
        <v>0</v>
      </c>
      <c r="Y163" s="215">
        <f t="shared" si="244"/>
        <v>0</v>
      </c>
      <c r="Z163" s="215">
        <f t="shared" si="244"/>
        <v>0</v>
      </c>
      <c r="AA163" s="215">
        <f t="shared" si="244"/>
        <v>0</v>
      </c>
      <c r="AB163" s="215">
        <f t="shared" si="244"/>
        <v>0</v>
      </c>
      <c r="AC163" s="215">
        <f t="shared" si="244"/>
        <v>0</v>
      </c>
      <c r="AD163" s="215">
        <f t="shared" si="244"/>
        <v>0</v>
      </c>
      <c r="AE163" s="215">
        <f t="shared" si="244"/>
        <v>0</v>
      </c>
      <c r="AF163" s="215">
        <f t="shared" si="244"/>
        <v>0</v>
      </c>
      <c r="AG163" s="215">
        <f t="shared" si="244"/>
        <v>0</v>
      </c>
      <c r="AH163" s="215">
        <f t="shared" si="244"/>
        <v>0</v>
      </c>
      <c r="AI163" s="215">
        <f t="shared" si="244"/>
        <v>0</v>
      </c>
      <c r="AJ163" s="215">
        <f t="shared" si="244"/>
        <v>0</v>
      </c>
      <c r="AK163" s="215">
        <f t="shared" si="244"/>
        <v>0</v>
      </c>
      <c r="AL163" s="215">
        <f t="shared" si="244"/>
        <v>0</v>
      </c>
      <c r="AM163" s="215">
        <f t="shared" si="244"/>
        <v>0</v>
      </c>
      <c r="AN163" s="215">
        <f t="shared" si="244"/>
        <v>0</v>
      </c>
      <c r="AO163" s="215">
        <f t="shared" si="244"/>
        <v>2141</v>
      </c>
      <c r="AP163" s="215">
        <f t="shared" si="244"/>
        <v>2141</v>
      </c>
      <c r="AQ163" s="215">
        <f t="shared" si="244"/>
        <v>0</v>
      </c>
      <c r="AR163" s="215">
        <f t="shared" si="244"/>
        <v>0</v>
      </c>
      <c r="AS163" s="215">
        <f t="shared" si="244"/>
        <v>40202</v>
      </c>
      <c r="AT163" s="215">
        <f t="shared" si="244"/>
        <v>2141</v>
      </c>
      <c r="AU163" s="215">
        <f t="shared" si="244"/>
        <v>2141</v>
      </c>
      <c r="AV163" s="215">
        <f t="shared" si="244"/>
        <v>3976</v>
      </c>
      <c r="AW163" s="215">
        <f t="shared" si="244"/>
        <v>3976</v>
      </c>
      <c r="AX163" s="215">
        <f t="shared" si="244"/>
        <v>0</v>
      </c>
      <c r="AY163" s="215">
        <f t="shared" si="244"/>
        <v>0</v>
      </c>
      <c r="AZ163" s="229"/>
    </row>
    <row r="164" spans="1:53" s="262" customFormat="1" ht="47.45" customHeight="1">
      <c r="A164" s="282" t="s">
        <v>37</v>
      </c>
      <c r="B164" s="571" t="s">
        <v>842</v>
      </c>
      <c r="C164" s="319"/>
      <c r="D164" s="319"/>
      <c r="E164" s="319" t="s">
        <v>818</v>
      </c>
      <c r="F164" s="319">
        <v>7247262</v>
      </c>
      <c r="G164" s="243"/>
      <c r="H164" s="243" t="s">
        <v>844</v>
      </c>
      <c r="I164" s="572" t="s">
        <v>843</v>
      </c>
      <c r="J164" s="489">
        <v>44178</v>
      </c>
      <c r="K164" s="489">
        <v>6117</v>
      </c>
      <c r="L164" s="212"/>
      <c r="M164" s="212"/>
      <c r="N164" s="212"/>
      <c r="O164" s="212"/>
      <c r="P164" s="212"/>
      <c r="Q164" s="212"/>
      <c r="R164" s="212">
        <f>S164</f>
        <v>6117</v>
      </c>
      <c r="S164" s="212">
        <v>6117</v>
      </c>
      <c r="T164" s="212"/>
      <c r="U164" s="212"/>
      <c r="V164" s="212">
        <f>J164-S164</f>
        <v>38061</v>
      </c>
      <c r="W164" s="212"/>
      <c r="X164" s="212"/>
      <c r="Y164" s="212"/>
      <c r="Z164" s="212"/>
      <c r="AA164" s="212"/>
      <c r="AB164" s="212"/>
      <c r="AC164" s="273"/>
      <c r="AD164" s="273"/>
      <c r="AE164" s="273"/>
      <c r="AF164" s="273"/>
      <c r="AG164" s="212"/>
      <c r="AH164" s="212"/>
      <c r="AI164" s="212"/>
      <c r="AJ164" s="212"/>
      <c r="AK164" s="212"/>
      <c r="AL164" s="212"/>
      <c r="AM164" s="212"/>
      <c r="AN164" s="212"/>
      <c r="AO164" s="273">
        <f>AP164</f>
        <v>2141</v>
      </c>
      <c r="AP164" s="273">
        <v>2141</v>
      </c>
      <c r="AQ164" s="273"/>
      <c r="AR164" s="273"/>
      <c r="AS164" s="212">
        <f t="shared" ref="AS164" si="245">V164+AP164</f>
        <v>40202</v>
      </c>
      <c r="AT164" s="212">
        <f t="shared" ref="AT164" si="246">AU164</f>
        <v>2141</v>
      </c>
      <c r="AU164" s="212">
        <f t="shared" ref="AU164" si="247">AH164+AP164</f>
        <v>2141</v>
      </c>
      <c r="AV164" s="212">
        <f t="shared" ref="AV164" si="248">AW164</f>
        <v>3976</v>
      </c>
      <c r="AW164" s="212">
        <f>S164-AU164</f>
        <v>3976</v>
      </c>
      <c r="AX164" s="273"/>
      <c r="AY164" s="273"/>
      <c r="AZ164" s="268"/>
      <c r="BA164" s="201">
        <f>AW164</f>
        <v>3976</v>
      </c>
    </row>
    <row r="165" spans="1:53" ht="56.1" hidden="1" customHeight="1">
      <c r="A165" s="282" t="s">
        <v>39</v>
      </c>
      <c r="B165" s="290" t="s">
        <v>426</v>
      </c>
      <c r="C165" s="319"/>
      <c r="D165" s="319"/>
      <c r="E165" s="319"/>
      <c r="F165" s="319"/>
      <c r="G165" s="243"/>
      <c r="H165" s="243"/>
      <c r="I165" s="248" t="s">
        <v>427</v>
      </c>
      <c r="J165" s="212">
        <v>39500</v>
      </c>
      <c r="K165" s="212">
        <v>2928</v>
      </c>
      <c r="L165" s="212"/>
      <c r="M165" s="212"/>
      <c r="N165" s="212"/>
      <c r="O165" s="212"/>
      <c r="P165" s="212">
        <f t="shared" ref="P165:Q166" si="249">L165+W165</f>
        <v>2928</v>
      </c>
      <c r="Q165" s="212">
        <f t="shared" si="249"/>
        <v>2928</v>
      </c>
      <c r="R165" s="212">
        <v>2928</v>
      </c>
      <c r="S165" s="212">
        <v>2928</v>
      </c>
      <c r="T165" s="212"/>
      <c r="U165" s="212"/>
      <c r="V165" s="212"/>
      <c r="W165" s="212">
        <v>2928</v>
      </c>
      <c r="X165" s="212">
        <v>2928</v>
      </c>
      <c r="Y165" s="212"/>
      <c r="Z165" s="212"/>
      <c r="AA165" s="212"/>
      <c r="AB165" s="212"/>
      <c r="AC165" s="273"/>
      <c r="AD165" s="273"/>
      <c r="AE165" s="273"/>
      <c r="AF165" s="273"/>
      <c r="AG165" s="215">
        <f t="shared" ref="AG165:AG194" si="250">W165+AA165</f>
        <v>2928</v>
      </c>
      <c r="AH165" s="215">
        <f t="shared" ref="AH165:AH194" si="251">X165+AB165</f>
        <v>2928</v>
      </c>
      <c r="AI165" s="215"/>
      <c r="AJ165" s="215"/>
      <c r="AK165" s="215">
        <f t="shared" si="203"/>
        <v>0</v>
      </c>
      <c r="AL165" s="215">
        <f t="shared" si="204"/>
        <v>0</v>
      </c>
      <c r="AM165" s="215">
        <f t="shared" si="205"/>
        <v>0</v>
      </c>
      <c r="AN165" s="215">
        <f t="shared" si="206"/>
        <v>0</v>
      </c>
      <c r="AO165" s="273"/>
      <c r="AP165" s="273"/>
      <c r="AQ165" s="273"/>
      <c r="AR165" s="273"/>
      <c r="AS165" s="273"/>
      <c r="AT165" s="273"/>
      <c r="AU165" s="273"/>
      <c r="AV165" s="273"/>
      <c r="AW165" s="273"/>
      <c r="AX165" s="273"/>
      <c r="AY165" s="273"/>
      <c r="AZ165" s="268" t="s">
        <v>428</v>
      </c>
    </row>
    <row r="166" spans="1:53" ht="27.95" hidden="1" customHeight="1">
      <c r="A166" s="649">
        <v>3</v>
      </c>
      <c r="B166" s="320" t="s">
        <v>429</v>
      </c>
      <c r="C166" s="319" t="s">
        <v>425</v>
      </c>
      <c r="D166" s="319"/>
      <c r="E166" s="319"/>
      <c r="F166" s="319"/>
      <c r="G166" s="243"/>
      <c r="H166" s="243"/>
      <c r="I166" s="248" t="s">
        <v>430</v>
      </c>
      <c r="J166" s="212">
        <v>2850</v>
      </c>
      <c r="K166" s="212">
        <v>984.90000000000009</v>
      </c>
      <c r="L166" s="212">
        <v>0</v>
      </c>
      <c r="M166" s="212">
        <v>0</v>
      </c>
      <c r="N166" s="212">
        <v>0</v>
      </c>
      <c r="O166" s="212">
        <v>0</v>
      </c>
      <c r="P166" s="212">
        <f t="shared" si="249"/>
        <v>984.90000000000009</v>
      </c>
      <c r="Q166" s="212">
        <f t="shared" si="249"/>
        <v>984.90000000000009</v>
      </c>
      <c r="R166" s="212">
        <v>2850</v>
      </c>
      <c r="S166" s="212">
        <v>984.90000000000009</v>
      </c>
      <c r="T166" s="212"/>
      <c r="U166" s="212"/>
      <c r="V166" s="212"/>
      <c r="W166" s="212">
        <v>984.90000000000009</v>
      </c>
      <c r="X166" s="212">
        <v>984.90000000000009</v>
      </c>
      <c r="Y166" s="212"/>
      <c r="Z166" s="212"/>
      <c r="AA166" s="212"/>
      <c r="AB166" s="212"/>
      <c r="AC166" s="212"/>
      <c r="AD166" s="212"/>
      <c r="AE166" s="212"/>
      <c r="AF166" s="212"/>
      <c r="AG166" s="215">
        <f t="shared" si="250"/>
        <v>984.90000000000009</v>
      </c>
      <c r="AH166" s="215">
        <f t="shared" si="251"/>
        <v>984.90000000000009</v>
      </c>
      <c r="AI166" s="215"/>
      <c r="AJ166" s="215"/>
      <c r="AK166" s="215">
        <f t="shared" si="203"/>
        <v>0</v>
      </c>
      <c r="AL166" s="215">
        <f t="shared" si="204"/>
        <v>0</v>
      </c>
      <c r="AM166" s="215">
        <f t="shared" si="205"/>
        <v>0</v>
      </c>
      <c r="AN166" s="215">
        <f t="shared" si="206"/>
        <v>0</v>
      </c>
      <c r="AO166" s="212"/>
      <c r="AP166" s="212"/>
      <c r="AQ166" s="212"/>
      <c r="AR166" s="212"/>
      <c r="AS166" s="212"/>
      <c r="AT166" s="212"/>
      <c r="AU166" s="212"/>
      <c r="AV166" s="212"/>
      <c r="AW166" s="212"/>
      <c r="AX166" s="212"/>
      <c r="AY166" s="212"/>
      <c r="AZ166" s="268"/>
    </row>
    <row r="167" spans="1:53" s="232" customFormat="1" ht="40.5" customHeight="1">
      <c r="A167" s="356" t="s">
        <v>46</v>
      </c>
      <c r="B167" s="540" t="s">
        <v>897</v>
      </c>
      <c r="C167" s="337"/>
      <c r="D167" s="337"/>
      <c r="E167" s="337"/>
      <c r="F167" s="337"/>
      <c r="G167" s="337"/>
      <c r="H167" s="337"/>
      <c r="I167" s="523"/>
      <c r="J167" s="355">
        <f>J168</f>
        <v>34360</v>
      </c>
      <c r="K167" s="355">
        <f t="shared" ref="K167:AY167" si="252">K168</f>
        <v>34360</v>
      </c>
      <c r="L167" s="355">
        <f t="shared" si="252"/>
        <v>0</v>
      </c>
      <c r="M167" s="355">
        <f t="shared" si="252"/>
        <v>0</v>
      </c>
      <c r="N167" s="355">
        <f t="shared" si="252"/>
        <v>0</v>
      </c>
      <c r="O167" s="355">
        <f t="shared" si="252"/>
        <v>0</v>
      </c>
      <c r="P167" s="355">
        <f t="shared" si="252"/>
        <v>651</v>
      </c>
      <c r="Q167" s="355">
        <f t="shared" si="252"/>
        <v>651</v>
      </c>
      <c r="R167" s="355">
        <f t="shared" si="252"/>
        <v>34360</v>
      </c>
      <c r="S167" s="355">
        <f t="shared" si="252"/>
        <v>34360</v>
      </c>
      <c r="T167" s="355">
        <f t="shared" si="252"/>
        <v>0</v>
      </c>
      <c r="U167" s="355">
        <f t="shared" si="252"/>
        <v>0</v>
      </c>
      <c r="V167" s="355">
        <f t="shared" si="252"/>
        <v>13041</v>
      </c>
      <c r="W167" s="355">
        <f t="shared" si="252"/>
        <v>651</v>
      </c>
      <c r="X167" s="355">
        <f t="shared" si="252"/>
        <v>651</v>
      </c>
      <c r="Y167" s="355">
        <f t="shared" si="252"/>
        <v>0</v>
      </c>
      <c r="Z167" s="355">
        <f t="shared" si="252"/>
        <v>0</v>
      </c>
      <c r="AA167" s="355">
        <f t="shared" si="252"/>
        <v>13006</v>
      </c>
      <c r="AB167" s="355">
        <f t="shared" si="252"/>
        <v>13006</v>
      </c>
      <c r="AC167" s="355">
        <f t="shared" si="252"/>
        <v>0</v>
      </c>
      <c r="AD167" s="355">
        <f t="shared" si="252"/>
        <v>0</v>
      </c>
      <c r="AE167" s="355">
        <f t="shared" si="252"/>
        <v>2218.598</v>
      </c>
      <c r="AF167" s="355">
        <f t="shared" si="252"/>
        <v>7546.51</v>
      </c>
      <c r="AG167" s="355">
        <f t="shared" si="252"/>
        <v>13657</v>
      </c>
      <c r="AH167" s="355">
        <f t="shared" si="252"/>
        <v>13657</v>
      </c>
      <c r="AI167" s="355"/>
      <c r="AJ167" s="355"/>
      <c r="AK167" s="355">
        <f t="shared" si="252"/>
        <v>12850</v>
      </c>
      <c r="AL167" s="355">
        <f t="shared" si="252"/>
        <v>12850</v>
      </c>
      <c r="AM167" s="355">
        <f t="shared" si="252"/>
        <v>0</v>
      </c>
      <c r="AN167" s="355">
        <f t="shared" si="252"/>
        <v>0</v>
      </c>
      <c r="AO167" s="355">
        <f t="shared" si="252"/>
        <v>12850</v>
      </c>
      <c r="AP167" s="355">
        <f t="shared" si="252"/>
        <v>12850</v>
      </c>
      <c r="AQ167" s="355">
        <f t="shared" si="252"/>
        <v>0</v>
      </c>
      <c r="AR167" s="355">
        <f t="shared" si="252"/>
        <v>0</v>
      </c>
      <c r="AS167" s="215">
        <f t="shared" si="252"/>
        <v>25891</v>
      </c>
      <c r="AT167" s="215">
        <f t="shared" si="252"/>
        <v>26507</v>
      </c>
      <c r="AU167" s="215">
        <f t="shared" si="252"/>
        <v>26507</v>
      </c>
      <c r="AV167" s="215">
        <f t="shared" si="252"/>
        <v>7585</v>
      </c>
      <c r="AW167" s="215">
        <f t="shared" si="252"/>
        <v>7585</v>
      </c>
      <c r="AX167" s="215">
        <f t="shared" si="252"/>
        <v>0</v>
      </c>
      <c r="AY167" s="215">
        <f t="shared" si="252"/>
        <v>0</v>
      </c>
      <c r="AZ167" s="337"/>
    </row>
    <row r="168" spans="1:53" s="533" customFormat="1" ht="40.5" customHeight="1">
      <c r="A168" s="275" t="s">
        <v>35</v>
      </c>
      <c r="B168" s="236" t="s">
        <v>45</v>
      </c>
      <c r="C168" s="255"/>
      <c r="D168" s="255"/>
      <c r="E168" s="255"/>
      <c r="F168" s="255"/>
      <c r="G168" s="255"/>
      <c r="H168" s="255"/>
      <c r="I168" s="256"/>
      <c r="J168" s="277">
        <f t="shared" ref="J168:AY168" si="253">SUM(J169:J174)</f>
        <v>34360</v>
      </c>
      <c r="K168" s="277">
        <f t="shared" si="253"/>
        <v>34360</v>
      </c>
      <c r="L168" s="277">
        <f t="shared" si="253"/>
        <v>0</v>
      </c>
      <c r="M168" s="277">
        <f t="shared" si="253"/>
        <v>0</v>
      </c>
      <c r="N168" s="277">
        <f t="shared" si="253"/>
        <v>0</v>
      </c>
      <c r="O168" s="277">
        <f t="shared" si="253"/>
        <v>0</v>
      </c>
      <c r="P168" s="277">
        <f t="shared" si="253"/>
        <v>651</v>
      </c>
      <c r="Q168" s="277">
        <f t="shared" si="253"/>
        <v>651</v>
      </c>
      <c r="R168" s="277">
        <f t="shared" si="253"/>
        <v>34360</v>
      </c>
      <c r="S168" s="277">
        <f t="shared" si="253"/>
        <v>34360</v>
      </c>
      <c r="T168" s="277">
        <f t="shared" si="253"/>
        <v>0</v>
      </c>
      <c r="U168" s="277">
        <f t="shared" si="253"/>
        <v>0</v>
      </c>
      <c r="V168" s="277">
        <f t="shared" si="253"/>
        <v>13041</v>
      </c>
      <c r="W168" s="277">
        <f t="shared" si="253"/>
        <v>651</v>
      </c>
      <c r="X168" s="277">
        <f t="shared" si="253"/>
        <v>651</v>
      </c>
      <c r="Y168" s="277">
        <f t="shared" si="253"/>
        <v>0</v>
      </c>
      <c r="Z168" s="277">
        <f t="shared" si="253"/>
        <v>0</v>
      </c>
      <c r="AA168" s="277">
        <f t="shared" si="253"/>
        <v>13006</v>
      </c>
      <c r="AB168" s="277">
        <f t="shared" si="253"/>
        <v>13006</v>
      </c>
      <c r="AC168" s="277">
        <f t="shared" si="253"/>
        <v>0</v>
      </c>
      <c r="AD168" s="277">
        <f t="shared" si="253"/>
        <v>0</v>
      </c>
      <c r="AE168" s="277">
        <f t="shared" si="253"/>
        <v>2218.598</v>
      </c>
      <c r="AF168" s="277">
        <f t="shared" si="253"/>
        <v>7546.51</v>
      </c>
      <c r="AG168" s="277">
        <f t="shared" si="253"/>
        <v>13657</v>
      </c>
      <c r="AH168" s="277">
        <f t="shared" si="253"/>
        <v>13657</v>
      </c>
      <c r="AI168" s="277">
        <f t="shared" si="253"/>
        <v>0</v>
      </c>
      <c r="AJ168" s="277">
        <f t="shared" si="253"/>
        <v>0</v>
      </c>
      <c r="AK168" s="277">
        <f t="shared" si="253"/>
        <v>12850</v>
      </c>
      <c r="AL168" s="277">
        <f t="shared" si="253"/>
        <v>12850</v>
      </c>
      <c r="AM168" s="277">
        <f t="shared" si="253"/>
        <v>0</v>
      </c>
      <c r="AN168" s="277">
        <f t="shared" si="253"/>
        <v>0</v>
      </c>
      <c r="AO168" s="277">
        <f t="shared" si="253"/>
        <v>12850</v>
      </c>
      <c r="AP168" s="277">
        <f t="shared" si="253"/>
        <v>12850</v>
      </c>
      <c r="AQ168" s="277">
        <f t="shared" si="253"/>
        <v>0</v>
      </c>
      <c r="AR168" s="277">
        <f t="shared" si="253"/>
        <v>0</v>
      </c>
      <c r="AS168" s="277">
        <f t="shared" si="253"/>
        <v>25891</v>
      </c>
      <c r="AT168" s="277">
        <f t="shared" si="253"/>
        <v>26507</v>
      </c>
      <c r="AU168" s="277">
        <f t="shared" si="253"/>
        <v>26507</v>
      </c>
      <c r="AV168" s="277">
        <f t="shared" si="253"/>
        <v>7585</v>
      </c>
      <c r="AW168" s="277">
        <f t="shared" si="253"/>
        <v>7585</v>
      </c>
      <c r="AX168" s="277">
        <f t="shared" si="253"/>
        <v>0</v>
      </c>
      <c r="AY168" s="277">
        <f t="shared" si="253"/>
        <v>0</v>
      </c>
      <c r="AZ168" s="255"/>
    </row>
    <row r="169" spans="1:53" s="270" customFormat="1" ht="44.45" customHeight="1">
      <c r="A169" s="649">
        <v>1</v>
      </c>
      <c r="B169" s="274" t="s">
        <v>653</v>
      </c>
      <c r="C169" s="319" t="s">
        <v>425</v>
      </c>
      <c r="D169" s="319"/>
      <c r="E169" s="319" t="s">
        <v>818</v>
      </c>
      <c r="F169" s="319"/>
      <c r="G169" s="272"/>
      <c r="H169" s="243" t="s">
        <v>781</v>
      </c>
      <c r="I169" s="211" t="s">
        <v>444</v>
      </c>
      <c r="J169" s="212">
        <v>3160</v>
      </c>
      <c r="K169" s="212">
        <v>3160</v>
      </c>
      <c r="L169" s="212"/>
      <c r="M169" s="212"/>
      <c r="N169" s="212"/>
      <c r="O169" s="212"/>
      <c r="P169" s="212">
        <f t="shared" ref="P169:Q171" si="254">L169+W169</f>
        <v>46</v>
      </c>
      <c r="Q169" s="212">
        <f t="shared" si="254"/>
        <v>46</v>
      </c>
      <c r="R169" s="212">
        <f t="shared" ref="R169:R173" si="255">S169</f>
        <v>3160</v>
      </c>
      <c r="S169" s="212">
        <v>3160</v>
      </c>
      <c r="T169" s="212"/>
      <c r="U169" s="212"/>
      <c r="V169" s="212">
        <v>1006</v>
      </c>
      <c r="W169" s="212">
        <v>46</v>
      </c>
      <c r="X169" s="212">
        <v>46</v>
      </c>
      <c r="Y169" s="212"/>
      <c r="Z169" s="212"/>
      <c r="AA169" s="212">
        <v>1006</v>
      </c>
      <c r="AB169" s="212">
        <v>1006</v>
      </c>
      <c r="AC169" s="212"/>
      <c r="AD169" s="212"/>
      <c r="AE169" s="273">
        <v>0</v>
      </c>
      <c r="AF169" s="273">
        <v>885.40200000000004</v>
      </c>
      <c r="AG169" s="212">
        <f t="shared" ref="AG169:AH174" si="256">W169+AA169</f>
        <v>1052</v>
      </c>
      <c r="AH169" s="212">
        <f t="shared" si="256"/>
        <v>1052</v>
      </c>
      <c r="AI169" s="212"/>
      <c r="AJ169" s="212"/>
      <c r="AK169" s="212">
        <f>AL169</f>
        <v>1100</v>
      </c>
      <c r="AL169" s="212">
        <v>1100</v>
      </c>
      <c r="AM169" s="212">
        <f t="shared" ref="AM169:AN169" si="257">AQ169</f>
        <v>0</v>
      </c>
      <c r="AN169" s="212">
        <f t="shared" si="257"/>
        <v>0</v>
      </c>
      <c r="AO169" s="212">
        <v>1100</v>
      </c>
      <c r="AP169" s="212">
        <f>AO169</f>
        <v>1100</v>
      </c>
      <c r="AQ169" s="212"/>
      <c r="AR169" s="212"/>
      <c r="AS169" s="212">
        <f t="shared" ref="AS169:AS174" si="258">V169+AP169</f>
        <v>2106</v>
      </c>
      <c r="AT169" s="212">
        <f t="shared" ref="AT169:AT174" si="259">AU169</f>
        <v>2152</v>
      </c>
      <c r="AU169" s="212">
        <f t="shared" ref="AU169:AU174" si="260">AH169+AP169</f>
        <v>2152</v>
      </c>
      <c r="AV169" s="212">
        <f t="shared" ref="AV169:AV174" si="261">AW169</f>
        <v>857</v>
      </c>
      <c r="AW169" s="212">
        <v>857</v>
      </c>
      <c r="AX169" s="212"/>
      <c r="AY169" s="212"/>
      <c r="AZ169" s="261" t="s">
        <v>783</v>
      </c>
      <c r="BA169" s="279"/>
    </row>
    <row r="170" spans="1:53" s="270" customFormat="1" ht="50.45" customHeight="1">
      <c r="A170" s="649">
        <v>2</v>
      </c>
      <c r="B170" s="274" t="s">
        <v>438</v>
      </c>
      <c r="C170" s="319" t="s">
        <v>425</v>
      </c>
      <c r="D170" s="319"/>
      <c r="E170" s="319" t="s">
        <v>818</v>
      </c>
      <c r="F170" s="319"/>
      <c r="G170" s="272"/>
      <c r="H170" s="243" t="s">
        <v>567</v>
      </c>
      <c r="I170" s="211" t="s">
        <v>439</v>
      </c>
      <c r="J170" s="212">
        <v>7000</v>
      </c>
      <c r="K170" s="212">
        <v>7000</v>
      </c>
      <c r="L170" s="212"/>
      <c r="M170" s="212"/>
      <c r="N170" s="212"/>
      <c r="O170" s="212"/>
      <c r="P170" s="212">
        <f t="shared" si="254"/>
        <v>277</v>
      </c>
      <c r="Q170" s="212">
        <f t="shared" si="254"/>
        <v>277</v>
      </c>
      <c r="R170" s="212">
        <f t="shared" si="255"/>
        <v>7000</v>
      </c>
      <c r="S170" s="212">
        <v>7000</v>
      </c>
      <c r="T170" s="212"/>
      <c r="U170" s="212"/>
      <c r="V170" s="212">
        <v>3000</v>
      </c>
      <c r="W170" s="212">
        <f>X170</f>
        <v>277</v>
      </c>
      <c r="X170" s="212">
        <v>277</v>
      </c>
      <c r="Y170" s="212"/>
      <c r="Z170" s="212"/>
      <c r="AA170" s="212">
        <v>3000</v>
      </c>
      <c r="AB170" s="212">
        <v>3000</v>
      </c>
      <c r="AC170" s="212"/>
      <c r="AD170" s="212"/>
      <c r="AE170" s="273">
        <v>0</v>
      </c>
      <c r="AF170" s="273">
        <v>2681.91</v>
      </c>
      <c r="AG170" s="212">
        <f t="shared" si="256"/>
        <v>3277</v>
      </c>
      <c r="AH170" s="212">
        <f t="shared" si="256"/>
        <v>3277</v>
      </c>
      <c r="AI170" s="212"/>
      <c r="AJ170" s="212"/>
      <c r="AK170" s="212">
        <f t="shared" ref="AK170:AN174" si="262">AO170</f>
        <v>3200</v>
      </c>
      <c r="AL170" s="212">
        <f t="shared" si="262"/>
        <v>3200</v>
      </c>
      <c r="AM170" s="212">
        <f t="shared" si="262"/>
        <v>0</v>
      </c>
      <c r="AN170" s="212">
        <f t="shared" si="262"/>
        <v>0</v>
      </c>
      <c r="AO170" s="212">
        <f>AP170</f>
        <v>3200</v>
      </c>
      <c r="AP170" s="212">
        <v>3200</v>
      </c>
      <c r="AQ170" s="212"/>
      <c r="AR170" s="212"/>
      <c r="AS170" s="212">
        <f t="shared" si="258"/>
        <v>6200</v>
      </c>
      <c r="AT170" s="212">
        <f t="shared" si="259"/>
        <v>6477</v>
      </c>
      <c r="AU170" s="212">
        <f t="shared" si="260"/>
        <v>6477</v>
      </c>
      <c r="AV170" s="212">
        <f t="shared" si="261"/>
        <v>500</v>
      </c>
      <c r="AW170" s="212">
        <v>500</v>
      </c>
      <c r="AX170" s="212"/>
      <c r="AY170" s="212"/>
      <c r="AZ170" s="261" t="s">
        <v>783</v>
      </c>
      <c r="BA170" s="279">
        <f>AW170</f>
        <v>500</v>
      </c>
    </row>
    <row r="171" spans="1:53" s="270" customFormat="1" ht="48" customHeight="1">
      <c r="A171" s="649">
        <v>3</v>
      </c>
      <c r="B171" s="289" t="s">
        <v>440</v>
      </c>
      <c r="C171" s="319" t="s">
        <v>425</v>
      </c>
      <c r="D171" s="319"/>
      <c r="E171" s="319" t="s">
        <v>818</v>
      </c>
      <c r="F171" s="319"/>
      <c r="G171" s="272"/>
      <c r="H171" s="243" t="s">
        <v>567</v>
      </c>
      <c r="I171" s="211" t="s">
        <v>441</v>
      </c>
      <c r="J171" s="212">
        <v>6000</v>
      </c>
      <c r="K171" s="212">
        <v>6000</v>
      </c>
      <c r="L171" s="212"/>
      <c r="M171" s="212"/>
      <c r="N171" s="212"/>
      <c r="O171" s="212"/>
      <c r="P171" s="212">
        <f t="shared" si="254"/>
        <v>91</v>
      </c>
      <c r="Q171" s="212">
        <f t="shared" si="254"/>
        <v>91</v>
      </c>
      <c r="R171" s="212">
        <f t="shared" si="255"/>
        <v>6000</v>
      </c>
      <c r="S171" s="212">
        <v>6000</v>
      </c>
      <c r="T171" s="212"/>
      <c r="U171" s="212"/>
      <c r="V171" s="212">
        <v>2500</v>
      </c>
      <c r="W171" s="212">
        <v>91</v>
      </c>
      <c r="X171" s="212">
        <v>91</v>
      </c>
      <c r="Y171" s="212"/>
      <c r="Z171" s="212"/>
      <c r="AA171" s="212">
        <v>2500</v>
      </c>
      <c r="AB171" s="212">
        <v>2500</v>
      </c>
      <c r="AC171" s="212"/>
      <c r="AD171" s="212"/>
      <c r="AE171" s="273">
        <v>2218.598</v>
      </c>
      <c r="AF171" s="273">
        <v>2218.598</v>
      </c>
      <c r="AG171" s="212">
        <f t="shared" si="256"/>
        <v>2591</v>
      </c>
      <c r="AH171" s="212">
        <f t="shared" si="256"/>
        <v>2591</v>
      </c>
      <c r="AI171" s="212"/>
      <c r="AJ171" s="212"/>
      <c r="AK171" s="212">
        <f t="shared" si="262"/>
        <v>3000</v>
      </c>
      <c r="AL171" s="212">
        <f t="shared" si="262"/>
        <v>3000</v>
      </c>
      <c r="AM171" s="212">
        <f t="shared" si="262"/>
        <v>0</v>
      </c>
      <c r="AN171" s="212">
        <f t="shared" si="262"/>
        <v>0</v>
      </c>
      <c r="AO171" s="212">
        <f>AP171</f>
        <v>3000</v>
      </c>
      <c r="AP171" s="212">
        <v>3000</v>
      </c>
      <c r="AQ171" s="212"/>
      <c r="AR171" s="212"/>
      <c r="AS171" s="212">
        <f t="shared" si="258"/>
        <v>5500</v>
      </c>
      <c r="AT171" s="212">
        <f t="shared" si="259"/>
        <v>5591</v>
      </c>
      <c r="AU171" s="212">
        <f t="shared" si="260"/>
        <v>5591</v>
      </c>
      <c r="AV171" s="212">
        <f t="shared" si="261"/>
        <v>400</v>
      </c>
      <c r="AW171" s="212">
        <v>400</v>
      </c>
      <c r="AX171" s="212"/>
      <c r="AY171" s="212"/>
      <c r="AZ171" s="261" t="s">
        <v>783</v>
      </c>
      <c r="BA171" s="279">
        <f>AW171</f>
        <v>400</v>
      </c>
    </row>
    <row r="172" spans="1:53" s="270" customFormat="1" ht="49.5" customHeight="1">
      <c r="A172" s="649">
        <v>4</v>
      </c>
      <c r="B172" s="321" t="s">
        <v>436</v>
      </c>
      <c r="C172" s="319" t="s">
        <v>425</v>
      </c>
      <c r="D172" s="319"/>
      <c r="E172" s="319" t="s">
        <v>812</v>
      </c>
      <c r="F172" s="319"/>
      <c r="G172" s="272"/>
      <c r="H172" s="243" t="s">
        <v>567</v>
      </c>
      <c r="I172" s="211" t="s">
        <v>437</v>
      </c>
      <c r="J172" s="212">
        <v>8000</v>
      </c>
      <c r="K172" s="212">
        <v>8000</v>
      </c>
      <c r="L172" s="212"/>
      <c r="M172" s="212"/>
      <c r="N172" s="212"/>
      <c r="O172" s="212"/>
      <c r="P172" s="212">
        <f t="shared" ref="P172:Q174" si="263">L172+W172</f>
        <v>104</v>
      </c>
      <c r="Q172" s="212">
        <f t="shared" si="263"/>
        <v>104</v>
      </c>
      <c r="R172" s="212">
        <f t="shared" si="255"/>
        <v>8000</v>
      </c>
      <c r="S172" s="212">
        <v>8000</v>
      </c>
      <c r="T172" s="212"/>
      <c r="U172" s="212"/>
      <c r="V172" s="212">
        <v>4000</v>
      </c>
      <c r="W172" s="212">
        <v>104</v>
      </c>
      <c r="X172" s="212">
        <v>104</v>
      </c>
      <c r="Y172" s="212"/>
      <c r="Z172" s="212"/>
      <c r="AA172" s="212">
        <f>AB172</f>
        <v>4000</v>
      </c>
      <c r="AB172" s="212">
        <f>2500+1500</f>
        <v>4000</v>
      </c>
      <c r="AC172" s="212"/>
      <c r="AD172" s="212"/>
      <c r="AE172" s="212"/>
      <c r="AF172" s="212"/>
      <c r="AG172" s="212">
        <f t="shared" si="256"/>
        <v>4104</v>
      </c>
      <c r="AH172" s="212">
        <f t="shared" si="256"/>
        <v>4104</v>
      </c>
      <c r="AI172" s="212"/>
      <c r="AJ172" s="212"/>
      <c r="AK172" s="212">
        <f t="shared" si="262"/>
        <v>2600</v>
      </c>
      <c r="AL172" s="212">
        <f t="shared" si="262"/>
        <v>2600</v>
      </c>
      <c r="AM172" s="212">
        <f t="shared" si="262"/>
        <v>0</v>
      </c>
      <c r="AN172" s="212">
        <f t="shared" si="262"/>
        <v>0</v>
      </c>
      <c r="AO172" s="212">
        <f>AP172</f>
        <v>2600</v>
      </c>
      <c r="AP172" s="212">
        <v>2600</v>
      </c>
      <c r="AQ172" s="212"/>
      <c r="AR172" s="212"/>
      <c r="AS172" s="212">
        <f t="shared" si="258"/>
        <v>6600</v>
      </c>
      <c r="AT172" s="212">
        <f t="shared" si="259"/>
        <v>6704</v>
      </c>
      <c r="AU172" s="212">
        <f t="shared" si="260"/>
        <v>6704</v>
      </c>
      <c r="AV172" s="212">
        <f t="shared" si="261"/>
        <v>1296</v>
      </c>
      <c r="AW172" s="212">
        <f t="shared" ref="AW172" si="264">S172-AU172</f>
        <v>1296</v>
      </c>
      <c r="AX172" s="212"/>
      <c r="AY172" s="212"/>
      <c r="AZ172" s="261" t="s">
        <v>783</v>
      </c>
      <c r="BA172" s="279"/>
    </row>
    <row r="173" spans="1:53" s="270" customFormat="1" ht="44.1" customHeight="1">
      <c r="A173" s="649">
        <v>5</v>
      </c>
      <c r="B173" s="267" t="s">
        <v>442</v>
      </c>
      <c r="C173" s="319" t="s">
        <v>425</v>
      </c>
      <c r="D173" s="319"/>
      <c r="E173" s="319" t="s">
        <v>818</v>
      </c>
      <c r="F173" s="319"/>
      <c r="G173" s="272"/>
      <c r="H173" s="243" t="s">
        <v>567</v>
      </c>
      <c r="I173" s="211" t="s">
        <v>443</v>
      </c>
      <c r="J173" s="212">
        <v>7500</v>
      </c>
      <c r="K173" s="212">
        <v>7500</v>
      </c>
      <c r="L173" s="212"/>
      <c r="M173" s="212"/>
      <c r="N173" s="212"/>
      <c r="O173" s="212"/>
      <c r="P173" s="212">
        <f t="shared" si="263"/>
        <v>98</v>
      </c>
      <c r="Q173" s="212">
        <f t="shared" si="263"/>
        <v>98</v>
      </c>
      <c r="R173" s="212">
        <f t="shared" si="255"/>
        <v>7500</v>
      </c>
      <c r="S173" s="212">
        <v>7500</v>
      </c>
      <c r="T173" s="212"/>
      <c r="U173" s="212"/>
      <c r="V173" s="212">
        <v>2500</v>
      </c>
      <c r="W173" s="212">
        <v>98</v>
      </c>
      <c r="X173" s="212">
        <v>98</v>
      </c>
      <c r="Y173" s="212"/>
      <c r="Z173" s="212"/>
      <c r="AA173" s="212">
        <v>2500</v>
      </c>
      <c r="AB173" s="212">
        <v>2500</v>
      </c>
      <c r="AC173" s="212"/>
      <c r="AD173" s="212"/>
      <c r="AE173" s="566">
        <v>0</v>
      </c>
      <c r="AF173" s="566">
        <v>1760.6</v>
      </c>
      <c r="AG173" s="212">
        <f t="shared" si="256"/>
        <v>2598</v>
      </c>
      <c r="AH173" s="212">
        <f t="shared" si="256"/>
        <v>2598</v>
      </c>
      <c r="AI173" s="212"/>
      <c r="AJ173" s="212"/>
      <c r="AK173" s="212">
        <f t="shared" si="262"/>
        <v>2000</v>
      </c>
      <c r="AL173" s="212">
        <f t="shared" si="262"/>
        <v>2000</v>
      </c>
      <c r="AM173" s="212">
        <f t="shared" si="262"/>
        <v>0</v>
      </c>
      <c r="AN173" s="212">
        <f t="shared" si="262"/>
        <v>0</v>
      </c>
      <c r="AO173" s="212">
        <f>AP173</f>
        <v>2000</v>
      </c>
      <c r="AP173" s="212">
        <v>2000</v>
      </c>
      <c r="AQ173" s="212"/>
      <c r="AR173" s="212"/>
      <c r="AS173" s="212">
        <f t="shared" si="258"/>
        <v>4500</v>
      </c>
      <c r="AT173" s="212">
        <f t="shared" si="259"/>
        <v>4598</v>
      </c>
      <c r="AU173" s="212">
        <f t="shared" si="260"/>
        <v>4598</v>
      </c>
      <c r="AV173" s="212">
        <f t="shared" si="261"/>
        <v>2782</v>
      </c>
      <c r="AW173" s="212">
        <v>2782</v>
      </c>
      <c r="AX173" s="212"/>
      <c r="AY173" s="212"/>
      <c r="AZ173" s="261" t="s">
        <v>783</v>
      </c>
      <c r="BA173" s="279"/>
    </row>
    <row r="174" spans="1:53" s="270" customFormat="1" ht="42.6" customHeight="1">
      <c r="A174" s="649">
        <v>6</v>
      </c>
      <c r="B174" s="267" t="s">
        <v>445</v>
      </c>
      <c r="C174" s="319" t="s">
        <v>425</v>
      </c>
      <c r="D174" s="319"/>
      <c r="E174" s="319" t="s">
        <v>818</v>
      </c>
      <c r="F174" s="319"/>
      <c r="G174" s="272"/>
      <c r="H174" s="272"/>
      <c r="I174" s="493" t="s">
        <v>672</v>
      </c>
      <c r="J174" s="492">
        <v>2700</v>
      </c>
      <c r="K174" s="492">
        <f>J174</f>
        <v>2700</v>
      </c>
      <c r="L174" s="212"/>
      <c r="M174" s="212"/>
      <c r="N174" s="212"/>
      <c r="O174" s="212"/>
      <c r="P174" s="212">
        <f t="shared" si="263"/>
        <v>35</v>
      </c>
      <c r="Q174" s="212">
        <f t="shared" si="263"/>
        <v>35</v>
      </c>
      <c r="R174" s="212">
        <v>2700</v>
      </c>
      <c r="S174" s="212">
        <v>2700</v>
      </c>
      <c r="T174" s="212"/>
      <c r="U174" s="212"/>
      <c r="V174" s="212">
        <v>35</v>
      </c>
      <c r="W174" s="212">
        <v>35</v>
      </c>
      <c r="X174" s="212">
        <v>35</v>
      </c>
      <c r="Y174" s="212"/>
      <c r="Z174" s="212"/>
      <c r="AA174" s="212"/>
      <c r="AB174" s="212"/>
      <c r="AC174" s="212"/>
      <c r="AD174" s="212"/>
      <c r="AE174" s="212"/>
      <c r="AF174" s="212"/>
      <c r="AG174" s="212">
        <f t="shared" si="256"/>
        <v>35</v>
      </c>
      <c r="AH174" s="212">
        <f t="shared" si="256"/>
        <v>35</v>
      </c>
      <c r="AI174" s="212"/>
      <c r="AJ174" s="212"/>
      <c r="AK174" s="212">
        <f>AL174</f>
        <v>950</v>
      </c>
      <c r="AL174" s="212">
        <f>AO174</f>
        <v>950</v>
      </c>
      <c r="AM174" s="212">
        <f t="shared" si="262"/>
        <v>0</v>
      </c>
      <c r="AN174" s="212">
        <f t="shared" si="262"/>
        <v>0</v>
      </c>
      <c r="AO174" s="212">
        <f>AP174</f>
        <v>950</v>
      </c>
      <c r="AP174" s="212">
        <v>950</v>
      </c>
      <c r="AQ174" s="212"/>
      <c r="AR174" s="212"/>
      <c r="AS174" s="212">
        <f t="shared" si="258"/>
        <v>985</v>
      </c>
      <c r="AT174" s="212">
        <f t="shared" si="259"/>
        <v>985</v>
      </c>
      <c r="AU174" s="212">
        <f t="shared" si="260"/>
        <v>985</v>
      </c>
      <c r="AV174" s="212">
        <f t="shared" si="261"/>
        <v>1750</v>
      </c>
      <c r="AW174" s="212">
        <v>1750</v>
      </c>
      <c r="AX174" s="212"/>
      <c r="AY174" s="212"/>
      <c r="AZ174" s="303" t="s">
        <v>783</v>
      </c>
      <c r="BA174" s="279"/>
    </row>
    <row r="175" spans="1:53" s="257" customFormat="1" ht="29.45" customHeight="1">
      <c r="A175" s="227" t="s">
        <v>278</v>
      </c>
      <c r="B175" s="234" t="s">
        <v>895</v>
      </c>
      <c r="C175" s="322"/>
      <c r="D175" s="322"/>
      <c r="E175" s="322"/>
      <c r="F175" s="322"/>
      <c r="G175" s="255"/>
      <c r="H175" s="255"/>
      <c r="I175" s="217"/>
      <c r="J175" s="215">
        <f>J176</f>
        <v>355300</v>
      </c>
      <c r="K175" s="215">
        <f t="shared" ref="K175:AY175" si="265">K176</f>
        <v>60000</v>
      </c>
      <c r="L175" s="215">
        <f t="shared" si="265"/>
        <v>217569</v>
      </c>
      <c r="M175" s="215">
        <f t="shared" si="265"/>
        <v>0</v>
      </c>
      <c r="N175" s="215">
        <f t="shared" si="265"/>
        <v>0</v>
      </c>
      <c r="O175" s="215">
        <f t="shared" si="265"/>
        <v>0</v>
      </c>
      <c r="P175" s="215">
        <f t="shared" si="265"/>
        <v>217569</v>
      </c>
      <c r="Q175" s="215">
        <f t="shared" si="265"/>
        <v>0</v>
      </c>
      <c r="R175" s="215">
        <f t="shared" si="265"/>
        <v>120000</v>
      </c>
      <c r="S175" s="215">
        <f t="shared" si="265"/>
        <v>60000</v>
      </c>
      <c r="T175" s="215">
        <f t="shared" si="265"/>
        <v>0</v>
      </c>
      <c r="U175" s="215">
        <f t="shared" si="265"/>
        <v>0</v>
      </c>
      <c r="V175" s="215">
        <f t="shared" si="265"/>
        <v>0</v>
      </c>
      <c r="W175" s="215">
        <f t="shared" si="265"/>
        <v>0</v>
      </c>
      <c r="X175" s="215">
        <f t="shared" si="265"/>
        <v>0</v>
      </c>
      <c r="Y175" s="215">
        <f t="shared" si="265"/>
        <v>0</v>
      </c>
      <c r="Z175" s="215">
        <f t="shared" si="265"/>
        <v>0</v>
      </c>
      <c r="AA175" s="215">
        <f t="shared" si="265"/>
        <v>4000</v>
      </c>
      <c r="AB175" s="215">
        <f t="shared" si="265"/>
        <v>4000</v>
      </c>
      <c r="AC175" s="215">
        <f t="shared" si="265"/>
        <v>0</v>
      </c>
      <c r="AD175" s="215">
        <f t="shared" si="265"/>
        <v>0</v>
      </c>
      <c r="AE175" s="215">
        <f t="shared" si="265"/>
        <v>0</v>
      </c>
      <c r="AF175" s="215">
        <f t="shared" si="265"/>
        <v>0</v>
      </c>
      <c r="AG175" s="215">
        <f t="shared" si="265"/>
        <v>4000</v>
      </c>
      <c r="AH175" s="215">
        <f t="shared" si="265"/>
        <v>4000</v>
      </c>
      <c r="AI175" s="215">
        <f t="shared" si="265"/>
        <v>0</v>
      </c>
      <c r="AJ175" s="215">
        <f t="shared" si="265"/>
        <v>0</v>
      </c>
      <c r="AK175" s="215">
        <f t="shared" si="265"/>
        <v>15000</v>
      </c>
      <c r="AL175" s="215">
        <f t="shared" si="265"/>
        <v>15000</v>
      </c>
      <c r="AM175" s="215">
        <f t="shared" si="265"/>
        <v>0</v>
      </c>
      <c r="AN175" s="215">
        <f t="shared" si="265"/>
        <v>0</v>
      </c>
      <c r="AO175" s="215">
        <f t="shared" si="265"/>
        <v>4000</v>
      </c>
      <c r="AP175" s="215">
        <f t="shared" si="265"/>
        <v>4000</v>
      </c>
      <c r="AQ175" s="215">
        <f t="shared" si="265"/>
        <v>0</v>
      </c>
      <c r="AR175" s="215">
        <f t="shared" si="265"/>
        <v>0</v>
      </c>
      <c r="AS175" s="215">
        <f t="shared" si="265"/>
        <v>4000</v>
      </c>
      <c r="AT175" s="215">
        <f t="shared" si="265"/>
        <v>8000</v>
      </c>
      <c r="AU175" s="215">
        <f t="shared" si="265"/>
        <v>8000</v>
      </c>
      <c r="AV175" s="215">
        <f t="shared" si="265"/>
        <v>14258</v>
      </c>
      <c r="AW175" s="215">
        <f t="shared" si="265"/>
        <v>14258</v>
      </c>
      <c r="AX175" s="215">
        <f t="shared" si="265"/>
        <v>0</v>
      </c>
      <c r="AY175" s="215">
        <f t="shared" si="265"/>
        <v>0</v>
      </c>
      <c r="AZ175" s="229"/>
      <c r="BA175" s="533"/>
    </row>
    <row r="176" spans="1:53" s="257" customFormat="1" ht="35.25" customHeight="1">
      <c r="A176" s="275" t="s">
        <v>35</v>
      </c>
      <c r="B176" s="236" t="s">
        <v>43</v>
      </c>
      <c r="C176" s="322"/>
      <c r="D176" s="322"/>
      <c r="E176" s="322"/>
      <c r="F176" s="322"/>
      <c r="G176" s="255"/>
      <c r="H176" s="255"/>
      <c r="I176" s="217"/>
      <c r="J176" s="215">
        <f>J177</f>
        <v>355300</v>
      </c>
      <c r="K176" s="215">
        <f t="shared" ref="K176:AY176" si="266">K177</f>
        <v>60000</v>
      </c>
      <c r="L176" s="215">
        <f t="shared" si="266"/>
        <v>217569</v>
      </c>
      <c r="M176" s="215">
        <f t="shared" si="266"/>
        <v>0</v>
      </c>
      <c r="N176" s="215">
        <f t="shared" si="266"/>
        <v>0</v>
      </c>
      <c r="O176" s="215">
        <f t="shared" si="266"/>
        <v>0</v>
      </c>
      <c r="P176" s="215">
        <f t="shared" si="266"/>
        <v>217569</v>
      </c>
      <c r="Q176" s="215">
        <f t="shared" si="266"/>
        <v>0</v>
      </c>
      <c r="R176" s="215">
        <f t="shared" si="266"/>
        <v>120000</v>
      </c>
      <c r="S176" s="215">
        <f t="shared" si="266"/>
        <v>60000</v>
      </c>
      <c r="T176" s="215">
        <f t="shared" si="266"/>
        <v>0</v>
      </c>
      <c r="U176" s="215">
        <f t="shared" si="266"/>
        <v>0</v>
      </c>
      <c r="V176" s="215">
        <f t="shared" si="266"/>
        <v>0</v>
      </c>
      <c r="W176" s="215">
        <f t="shared" si="266"/>
        <v>0</v>
      </c>
      <c r="X176" s="215">
        <f t="shared" si="266"/>
        <v>0</v>
      </c>
      <c r="Y176" s="215">
        <f t="shared" si="266"/>
        <v>0</v>
      </c>
      <c r="Z176" s="215">
        <f t="shared" si="266"/>
        <v>0</v>
      </c>
      <c r="AA176" s="215">
        <f t="shared" si="266"/>
        <v>4000</v>
      </c>
      <c r="AB176" s="215">
        <f t="shared" si="266"/>
        <v>4000</v>
      </c>
      <c r="AC176" s="215">
        <f t="shared" si="266"/>
        <v>0</v>
      </c>
      <c r="AD176" s="215">
        <f t="shared" si="266"/>
        <v>0</v>
      </c>
      <c r="AE176" s="215">
        <f t="shared" si="266"/>
        <v>0</v>
      </c>
      <c r="AF176" s="215">
        <f t="shared" si="266"/>
        <v>0</v>
      </c>
      <c r="AG176" s="215">
        <f t="shared" si="266"/>
        <v>4000</v>
      </c>
      <c r="AH176" s="215">
        <f t="shared" si="266"/>
        <v>4000</v>
      </c>
      <c r="AI176" s="215">
        <f t="shared" si="266"/>
        <v>0</v>
      </c>
      <c r="AJ176" s="215">
        <f t="shared" si="266"/>
        <v>0</v>
      </c>
      <c r="AK176" s="215">
        <f t="shared" si="266"/>
        <v>15000</v>
      </c>
      <c r="AL176" s="215">
        <f t="shared" si="266"/>
        <v>15000</v>
      </c>
      <c r="AM176" s="215">
        <f t="shared" si="266"/>
        <v>0</v>
      </c>
      <c r="AN176" s="215">
        <f t="shared" si="266"/>
        <v>0</v>
      </c>
      <c r="AO176" s="215">
        <f t="shared" si="266"/>
        <v>4000</v>
      </c>
      <c r="AP176" s="215">
        <f t="shared" si="266"/>
        <v>4000</v>
      </c>
      <c r="AQ176" s="215">
        <f t="shared" si="266"/>
        <v>0</v>
      </c>
      <c r="AR176" s="215">
        <f t="shared" si="266"/>
        <v>0</v>
      </c>
      <c r="AS176" s="215">
        <f t="shared" si="266"/>
        <v>4000</v>
      </c>
      <c r="AT176" s="215">
        <f t="shared" si="266"/>
        <v>8000</v>
      </c>
      <c r="AU176" s="215">
        <f t="shared" si="266"/>
        <v>8000</v>
      </c>
      <c r="AV176" s="215">
        <f t="shared" si="266"/>
        <v>14258</v>
      </c>
      <c r="AW176" s="215">
        <f t="shared" si="266"/>
        <v>14258</v>
      </c>
      <c r="AX176" s="215">
        <f t="shared" si="266"/>
        <v>0</v>
      </c>
      <c r="AY176" s="215">
        <f t="shared" si="266"/>
        <v>0</v>
      </c>
      <c r="AZ176" s="229"/>
      <c r="BA176" s="533"/>
    </row>
    <row r="177" spans="1:53" s="262" customFormat="1" ht="71.45" customHeight="1">
      <c r="A177" s="649">
        <v>1</v>
      </c>
      <c r="B177" s="320" t="s">
        <v>431</v>
      </c>
      <c r="C177" s="319" t="s">
        <v>425</v>
      </c>
      <c r="D177" s="319"/>
      <c r="E177" s="319" t="s">
        <v>818</v>
      </c>
      <c r="F177" s="319"/>
      <c r="G177" s="243" t="s">
        <v>432</v>
      </c>
      <c r="H177" s="243" t="s">
        <v>433</v>
      </c>
      <c r="I177" s="248" t="s">
        <v>434</v>
      </c>
      <c r="J177" s="212">
        <v>355300</v>
      </c>
      <c r="K177" s="212">
        <v>60000</v>
      </c>
      <c r="L177" s="212">
        <v>217569</v>
      </c>
      <c r="M177" s="212"/>
      <c r="N177" s="212"/>
      <c r="O177" s="212"/>
      <c r="P177" s="212">
        <f>L177+W177</f>
        <v>217569</v>
      </c>
      <c r="Q177" s="212">
        <f>M177+X177</f>
        <v>0</v>
      </c>
      <c r="R177" s="212">
        <v>120000</v>
      </c>
      <c r="S177" s="212">
        <v>60000</v>
      </c>
      <c r="T177" s="212"/>
      <c r="U177" s="212"/>
      <c r="V177" s="212"/>
      <c r="W177" s="212"/>
      <c r="X177" s="212"/>
      <c r="Y177" s="212"/>
      <c r="Z177" s="212"/>
      <c r="AA177" s="212">
        <v>4000</v>
      </c>
      <c r="AB177" s="212">
        <v>4000</v>
      </c>
      <c r="AC177" s="212"/>
      <c r="AD177" s="212"/>
      <c r="AE177" s="212"/>
      <c r="AF177" s="212"/>
      <c r="AG177" s="212">
        <f>W177+AA177</f>
        <v>4000</v>
      </c>
      <c r="AH177" s="212">
        <f>X177+AB177</f>
        <v>4000</v>
      </c>
      <c r="AI177" s="212"/>
      <c r="AJ177" s="212"/>
      <c r="AK177" s="212">
        <v>15000</v>
      </c>
      <c r="AL177" s="212">
        <f>AK177</f>
        <v>15000</v>
      </c>
      <c r="AM177" s="212">
        <f>AQ177</f>
        <v>0</v>
      </c>
      <c r="AN177" s="212">
        <f>AR177</f>
        <v>0</v>
      </c>
      <c r="AO177" s="212">
        <f>AP177</f>
        <v>4000</v>
      </c>
      <c r="AP177" s="212">
        <v>4000</v>
      </c>
      <c r="AQ177" s="212"/>
      <c r="AR177" s="212"/>
      <c r="AS177" s="212">
        <f t="shared" ref="AS177" si="267">V177+AP177</f>
        <v>4000</v>
      </c>
      <c r="AT177" s="212">
        <f t="shared" ref="AT177" si="268">AU177</f>
        <v>8000</v>
      </c>
      <c r="AU177" s="212">
        <f t="shared" ref="AU177" si="269">AH177+AP177</f>
        <v>8000</v>
      </c>
      <c r="AV177" s="212">
        <f t="shared" ref="AV177" si="270">AW177</f>
        <v>14258</v>
      </c>
      <c r="AW177" s="212">
        <v>14258</v>
      </c>
      <c r="AX177" s="212"/>
      <c r="AY177" s="212"/>
      <c r="AZ177" s="268" t="s">
        <v>435</v>
      </c>
      <c r="BA177" s="201"/>
    </row>
    <row r="178" spans="1:53" s="533" customFormat="1" ht="24.6" customHeight="1">
      <c r="A178" s="649"/>
      <c r="B178" s="274"/>
      <c r="C178" s="319"/>
      <c r="D178" s="319"/>
      <c r="E178" s="319"/>
      <c r="F178" s="319"/>
      <c r="G178" s="255"/>
      <c r="H178" s="255"/>
      <c r="I178" s="211"/>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5"/>
      <c r="AH178" s="215"/>
      <c r="AI178" s="215"/>
      <c r="AJ178" s="215"/>
      <c r="AK178" s="215"/>
      <c r="AL178" s="215"/>
      <c r="AM178" s="215"/>
      <c r="AN178" s="215"/>
      <c r="AO178" s="212"/>
      <c r="AP178" s="212"/>
      <c r="AQ178" s="212"/>
      <c r="AR178" s="212"/>
      <c r="AS178" s="212"/>
      <c r="AT178" s="212"/>
      <c r="AU178" s="212"/>
      <c r="AV178" s="212"/>
      <c r="AW178" s="212"/>
      <c r="AX178" s="212"/>
      <c r="AY178" s="212"/>
      <c r="AZ178" s="272"/>
    </row>
    <row r="179" spans="1:53" s="232" customFormat="1" ht="33.75" customHeight="1">
      <c r="A179" s="252"/>
      <c r="B179" s="228" t="s">
        <v>327</v>
      </c>
      <c r="C179" s="229"/>
      <c r="D179" s="229"/>
      <c r="E179" s="229"/>
      <c r="F179" s="229"/>
      <c r="G179" s="229"/>
      <c r="H179" s="229"/>
      <c r="I179" s="231" t="s">
        <v>311</v>
      </c>
      <c r="J179" s="215"/>
      <c r="K179" s="215"/>
      <c r="L179" s="215"/>
      <c r="M179" s="215"/>
      <c r="N179" s="215"/>
      <c r="O179" s="215"/>
      <c r="P179" s="212"/>
      <c r="Q179" s="212"/>
      <c r="R179" s="215"/>
      <c r="S179" s="215"/>
      <c r="T179" s="215"/>
      <c r="U179" s="215"/>
      <c r="V179" s="215"/>
      <c r="W179" s="215"/>
      <c r="X179" s="215"/>
      <c r="Y179" s="215"/>
      <c r="Z179" s="215"/>
      <c r="AA179" s="215"/>
      <c r="AB179" s="215">
        <v>28507</v>
      </c>
      <c r="AC179" s="215"/>
      <c r="AD179" s="215"/>
      <c r="AE179" s="215"/>
      <c r="AF179" s="215"/>
      <c r="AG179" s="215"/>
      <c r="AH179" s="215"/>
      <c r="AI179" s="215"/>
      <c r="AJ179" s="215"/>
      <c r="AK179" s="215"/>
      <c r="AL179" s="215"/>
      <c r="AM179" s="215"/>
      <c r="AN179" s="215"/>
      <c r="AO179" s="215"/>
      <c r="AP179" s="215">
        <v>29887.755074684086</v>
      </c>
      <c r="AQ179" s="215"/>
      <c r="AR179" s="215"/>
      <c r="AS179" s="215"/>
      <c r="AT179" s="215"/>
      <c r="AU179" s="215"/>
      <c r="AV179" s="215"/>
      <c r="AW179" s="215">
        <v>35332</v>
      </c>
      <c r="AX179" s="215"/>
      <c r="AY179" s="215"/>
      <c r="AZ179" s="265"/>
    </row>
    <row r="180" spans="1:53" s="251" customFormat="1" ht="33.75" customHeight="1">
      <c r="A180" s="252" t="s">
        <v>183</v>
      </c>
      <c r="B180" s="253" t="s">
        <v>446</v>
      </c>
      <c r="C180" s="229"/>
      <c r="D180" s="229"/>
      <c r="E180" s="229"/>
      <c r="F180" s="229"/>
      <c r="G180" s="235"/>
      <c r="H180" s="229"/>
      <c r="I180" s="231"/>
      <c r="J180" s="215">
        <f>J181+J186+J191+J199</f>
        <v>180645</v>
      </c>
      <c r="K180" s="215">
        <f t="shared" ref="K180:AY180" si="271">K181+K186+K191+K199</f>
        <v>116890</v>
      </c>
      <c r="L180" s="215">
        <f t="shared" si="271"/>
        <v>59404</v>
      </c>
      <c r="M180" s="215">
        <f t="shared" si="271"/>
        <v>0</v>
      </c>
      <c r="N180" s="215">
        <f t="shared" si="271"/>
        <v>57177</v>
      </c>
      <c r="O180" s="215">
        <f t="shared" si="271"/>
        <v>5200</v>
      </c>
      <c r="P180" s="215">
        <f t="shared" si="271"/>
        <v>66608</v>
      </c>
      <c r="Q180" s="215">
        <f t="shared" si="271"/>
        <v>7204</v>
      </c>
      <c r="R180" s="215">
        <f t="shared" si="271"/>
        <v>116510</v>
      </c>
      <c r="S180" s="215">
        <f t="shared" si="271"/>
        <v>116510</v>
      </c>
      <c r="T180" s="215">
        <f t="shared" si="271"/>
        <v>0</v>
      </c>
      <c r="U180" s="215">
        <f t="shared" si="271"/>
        <v>0</v>
      </c>
      <c r="V180" s="215">
        <f t="shared" si="271"/>
        <v>21270</v>
      </c>
      <c r="W180" s="215">
        <f t="shared" si="271"/>
        <v>7204</v>
      </c>
      <c r="X180" s="215">
        <f t="shared" si="271"/>
        <v>7204</v>
      </c>
      <c r="Y180" s="215">
        <f t="shared" si="271"/>
        <v>0</v>
      </c>
      <c r="Z180" s="215">
        <f t="shared" si="271"/>
        <v>0</v>
      </c>
      <c r="AA180" s="215">
        <f t="shared" si="271"/>
        <v>17806</v>
      </c>
      <c r="AB180" s="215">
        <f t="shared" si="271"/>
        <v>17806</v>
      </c>
      <c r="AC180" s="215">
        <f t="shared" si="271"/>
        <v>0</v>
      </c>
      <c r="AD180" s="215">
        <f t="shared" si="271"/>
        <v>0</v>
      </c>
      <c r="AE180" s="215">
        <f t="shared" si="271"/>
        <v>8259.3070000000007</v>
      </c>
      <c r="AF180" s="215">
        <f t="shared" si="271"/>
        <v>13149.307000000001</v>
      </c>
      <c r="AG180" s="215">
        <f t="shared" si="271"/>
        <v>25018</v>
      </c>
      <c r="AH180" s="215">
        <f t="shared" si="271"/>
        <v>25018</v>
      </c>
      <c r="AI180" s="215">
        <f t="shared" si="271"/>
        <v>0</v>
      </c>
      <c r="AJ180" s="215">
        <f t="shared" si="271"/>
        <v>0</v>
      </c>
      <c r="AK180" s="215">
        <f t="shared" si="271"/>
        <v>35199.333333333336</v>
      </c>
      <c r="AL180" s="215">
        <f t="shared" si="271"/>
        <v>35199.333333333336</v>
      </c>
      <c r="AM180" s="215">
        <f t="shared" si="271"/>
        <v>0</v>
      </c>
      <c r="AN180" s="215">
        <f t="shared" si="271"/>
        <v>0</v>
      </c>
      <c r="AO180" s="215">
        <f t="shared" si="271"/>
        <v>29738</v>
      </c>
      <c r="AP180" s="215">
        <f t="shared" si="271"/>
        <v>29738</v>
      </c>
      <c r="AQ180" s="215">
        <f t="shared" si="271"/>
        <v>0</v>
      </c>
      <c r="AR180" s="215">
        <f t="shared" si="271"/>
        <v>0</v>
      </c>
      <c r="AS180" s="215">
        <f t="shared" si="271"/>
        <v>51058</v>
      </c>
      <c r="AT180" s="215">
        <f t="shared" si="271"/>
        <v>54806</v>
      </c>
      <c r="AU180" s="215">
        <f t="shared" si="271"/>
        <v>54806</v>
      </c>
      <c r="AV180" s="215">
        <f t="shared" si="271"/>
        <v>35332</v>
      </c>
      <c r="AW180" s="215">
        <f t="shared" si="271"/>
        <v>35332</v>
      </c>
      <c r="AX180" s="215">
        <f t="shared" si="271"/>
        <v>0</v>
      </c>
      <c r="AY180" s="215">
        <f t="shared" si="271"/>
        <v>0</v>
      </c>
      <c r="AZ180" s="265"/>
      <c r="BA180" s="232"/>
    </row>
    <row r="181" spans="1:53" s="251" customFormat="1" ht="32.25" customHeight="1">
      <c r="A181" s="227" t="s">
        <v>33</v>
      </c>
      <c r="B181" s="234" t="s">
        <v>1029</v>
      </c>
      <c r="C181" s="229"/>
      <c r="D181" s="229"/>
      <c r="E181" s="229"/>
      <c r="F181" s="229"/>
      <c r="G181" s="229"/>
      <c r="H181" s="266"/>
      <c r="I181" s="231"/>
      <c r="J181" s="242">
        <f>J182</f>
        <v>85955</v>
      </c>
      <c r="K181" s="242">
        <f t="shared" ref="K181:AY181" si="272">K182</f>
        <v>22200</v>
      </c>
      <c r="L181" s="242">
        <f t="shared" si="272"/>
        <v>59404</v>
      </c>
      <c r="M181" s="242">
        <f t="shared" si="272"/>
        <v>0</v>
      </c>
      <c r="N181" s="242">
        <f t="shared" si="272"/>
        <v>57177</v>
      </c>
      <c r="O181" s="242">
        <f t="shared" si="272"/>
        <v>5200</v>
      </c>
      <c r="P181" s="242">
        <f t="shared" si="272"/>
        <v>65662</v>
      </c>
      <c r="Q181" s="242">
        <f t="shared" si="272"/>
        <v>6258</v>
      </c>
      <c r="R181" s="242">
        <f t="shared" si="272"/>
        <v>26600</v>
      </c>
      <c r="S181" s="242">
        <f t="shared" si="272"/>
        <v>26600</v>
      </c>
      <c r="T181" s="242">
        <f t="shared" si="272"/>
        <v>0</v>
      </c>
      <c r="U181" s="242">
        <f t="shared" si="272"/>
        <v>0</v>
      </c>
      <c r="V181" s="242">
        <f t="shared" si="272"/>
        <v>12700</v>
      </c>
      <c r="W181" s="242">
        <f t="shared" si="272"/>
        <v>6258</v>
      </c>
      <c r="X181" s="242">
        <f t="shared" si="272"/>
        <v>6258</v>
      </c>
      <c r="Y181" s="242">
        <f t="shared" si="272"/>
        <v>0</v>
      </c>
      <c r="Z181" s="242">
        <f t="shared" si="272"/>
        <v>0</v>
      </c>
      <c r="AA181" s="242">
        <f t="shared" si="272"/>
        <v>7200</v>
      </c>
      <c r="AB181" s="242">
        <f t="shared" si="272"/>
        <v>7200</v>
      </c>
      <c r="AC181" s="242">
        <f t="shared" si="272"/>
        <v>0</v>
      </c>
      <c r="AD181" s="242">
        <f t="shared" si="272"/>
        <v>0</v>
      </c>
      <c r="AE181" s="242">
        <f t="shared" si="272"/>
        <v>5518.7029999999995</v>
      </c>
      <c r="AF181" s="242">
        <f t="shared" si="272"/>
        <v>5518.7029999999995</v>
      </c>
      <c r="AG181" s="242">
        <f t="shared" si="272"/>
        <v>13466</v>
      </c>
      <c r="AH181" s="242">
        <f t="shared" si="272"/>
        <v>13466</v>
      </c>
      <c r="AI181" s="242"/>
      <c r="AJ181" s="242"/>
      <c r="AK181" s="242">
        <f t="shared" si="272"/>
        <v>7828</v>
      </c>
      <c r="AL181" s="242">
        <f t="shared" si="272"/>
        <v>7828</v>
      </c>
      <c r="AM181" s="242">
        <f t="shared" si="272"/>
        <v>0</v>
      </c>
      <c r="AN181" s="242">
        <f t="shared" si="272"/>
        <v>0</v>
      </c>
      <c r="AO181" s="242">
        <f t="shared" si="272"/>
        <v>6500</v>
      </c>
      <c r="AP181" s="242">
        <f>AP182</f>
        <v>6500</v>
      </c>
      <c r="AQ181" s="242">
        <f t="shared" si="272"/>
        <v>0</v>
      </c>
      <c r="AR181" s="242">
        <f t="shared" si="272"/>
        <v>0</v>
      </c>
      <c r="AS181" s="242">
        <f t="shared" si="272"/>
        <v>19200</v>
      </c>
      <c r="AT181" s="242">
        <f t="shared" si="272"/>
        <v>19966</v>
      </c>
      <c r="AU181" s="242">
        <f t="shared" si="272"/>
        <v>19966</v>
      </c>
      <c r="AV181" s="242">
        <f t="shared" si="272"/>
        <v>3692</v>
      </c>
      <c r="AW181" s="242">
        <f t="shared" si="272"/>
        <v>3692</v>
      </c>
      <c r="AX181" s="242">
        <f t="shared" si="272"/>
        <v>0</v>
      </c>
      <c r="AY181" s="242">
        <f t="shared" si="272"/>
        <v>0</v>
      </c>
      <c r="AZ181" s="265"/>
      <c r="BA181" s="232"/>
    </row>
    <row r="182" spans="1:53" s="251" customFormat="1" ht="30.75" customHeight="1">
      <c r="A182" s="275" t="s">
        <v>35</v>
      </c>
      <c r="B182" s="236" t="s">
        <v>629</v>
      </c>
      <c r="C182" s="229"/>
      <c r="D182" s="229"/>
      <c r="E182" s="229"/>
      <c r="F182" s="229"/>
      <c r="G182" s="229"/>
      <c r="H182" s="266"/>
      <c r="I182" s="231"/>
      <c r="J182" s="242">
        <f>SUM(J183:J185)</f>
        <v>85955</v>
      </c>
      <c r="K182" s="242">
        <f t="shared" ref="K182:AR182" si="273">SUM(K183:K185)</f>
        <v>22200</v>
      </c>
      <c r="L182" s="242">
        <f t="shared" si="273"/>
        <v>59404</v>
      </c>
      <c r="M182" s="242">
        <f t="shared" si="273"/>
        <v>0</v>
      </c>
      <c r="N182" s="242">
        <f t="shared" si="273"/>
        <v>57177</v>
      </c>
      <c r="O182" s="242">
        <f t="shared" si="273"/>
        <v>5200</v>
      </c>
      <c r="P182" s="242">
        <f t="shared" si="273"/>
        <v>65662</v>
      </c>
      <c r="Q182" s="242">
        <f t="shared" si="273"/>
        <v>6258</v>
      </c>
      <c r="R182" s="242">
        <f t="shared" si="273"/>
        <v>26600</v>
      </c>
      <c r="S182" s="242">
        <f t="shared" si="273"/>
        <v>26600</v>
      </c>
      <c r="T182" s="242">
        <f t="shared" si="273"/>
        <v>0</v>
      </c>
      <c r="U182" s="242">
        <f t="shared" si="273"/>
        <v>0</v>
      </c>
      <c r="V182" s="242">
        <f t="shared" ref="V182" si="274">SUM(V183:V185)</f>
        <v>12700</v>
      </c>
      <c r="W182" s="242">
        <f t="shared" si="273"/>
        <v>6258</v>
      </c>
      <c r="X182" s="242">
        <f t="shared" si="273"/>
        <v>6258</v>
      </c>
      <c r="Y182" s="242">
        <f t="shared" si="273"/>
        <v>0</v>
      </c>
      <c r="Z182" s="242">
        <f t="shared" si="273"/>
        <v>0</v>
      </c>
      <c r="AA182" s="242">
        <f t="shared" si="273"/>
        <v>7200</v>
      </c>
      <c r="AB182" s="242">
        <f t="shared" si="273"/>
        <v>7200</v>
      </c>
      <c r="AC182" s="242">
        <f t="shared" si="273"/>
        <v>0</v>
      </c>
      <c r="AD182" s="242">
        <f t="shared" si="273"/>
        <v>0</v>
      </c>
      <c r="AE182" s="242">
        <f t="shared" si="273"/>
        <v>5518.7029999999995</v>
      </c>
      <c r="AF182" s="242">
        <f t="shared" si="273"/>
        <v>5518.7029999999995</v>
      </c>
      <c r="AG182" s="242">
        <f t="shared" si="273"/>
        <v>13466</v>
      </c>
      <c r="AH182" s="242">
        <f t="shared" si="273"/>
        <v>13466</v>
      </c>
      <c r="AI182" s="242"/>
      <c r="AJ182" s="242"/>
      <c r="AK182" s="242">
        <f t="shared" si="273"/>
        <v>7828</v>
      </c>
      <c r="AL182" s="242">
        <f t="shared" si="273"/>
        <v>7828</v>
      </c>
      <c r="AM182" s="242">
        <f t="shared" si="273"/>
        <v>0</v>
      </c>
      <c r="AN182" s="242">
        <f t="shared" si="273"/>
        <v>0</v>
      </c>
      <c r="AO182" s="242">
        <f t="shared" si="273"/>
        <v>6500</v>
      </c>
      <c r="AP182" s="242">
        <f>SUM(AP183:AP185)</f>
        <v>6500</v>
      </c>
      <c r="AQ182" s="242">
        <f t="shared" si="273"/>
        <v>0</v>
      </c>
      <c r="AR182" s="242">
        <f t="shared" si="273"/>
        <v>0</v>
      </c>
      <c r="AS182" s="242">
        <f t="shared" ref="AS182:AY182" si="275">SUM(AS183:AS185)</f>
        <v>19200</v>
      </c>
      <c r="AT182" s="242">
        <f t="shared" si="275"/>
        <v>19966</v>
      </c>
      <c r="AU182" s="242">
        <f t="shared" si="275"/>
        <v>19966</v>
      </c>
      <c r="AV182" s="242">
        <f t="shared" si="275"/>
        <v>3692</v>
      </c>
      <c r="AW182" s="242">
        <f t="shared" si="275"/>
        <v>3692</v>
      </c>
      <c r="AX182" s="242">
        <f t="shared" si="275"/>
        <v>0</v>
      </c>
      <c r="AY182" s="242">
        <f t="shared" si="275"/>
        <v>0</v>
      </c>
      <c r="AZ182" s="265"/>
      <c r="BA182" s="232"/>
    </row>
    <row r="183" spans="1:53" s="262" customFormat="1" ht="41.1" hidden="1" customHeight="1">
      <c r="A183" s="649">
        <v>1</v>
      </c>
      <c r="B183" s="274" t="s">
        <v>449</v>
      </c>
      <c r="C183" s="243" t="s">
        <v>447</v>
      </c>
      <c r="D183" s="243"/>
      <c r="E183" s="319" t="s">
        <v>819</v>
      </c>
      <c r="F183" s="243"/>
      <c r="G183" s="243"/>
      <c r="H183" s="243"/>
      <c r="I183" s="248" t="s">
        <v>450</v>
      </c>
      <c r="J183" s="212">
        <v>61000</v>
      </c>
      <c r="K183" s="212">
        <v>10000</v>
      </c>
      <c r="L183" s="212">
        <v>47921</v>
      </c>
      <c r="M183" s="212"/>
      <c r="N183" s="212">
        <v>47921</v>
      </c>
      <c r="O183" s="212">
        <v>4200</v>
      </c>
      <c r="P183" s="212">
        <f t="shared" ref="P183:Q185" si="276">L183+W183</f>
        <v>52593</v>
      </c>
      <c r="Q183" s="212">
        <f t="shared" si="276"/>
        <v>4672</v>
      </c>
      <c r="R183" s="273">
        <v>10000</v>
      </c>
      <c r="S183" s="273">
        <v>10000</v>
      </c>
      <c r="T183" s="212"/>
      <c r="U183" s="212"/>
      <c r="V183" s="212">
        <f>4000+3000</f>
        <v>7000</v>
      </c>
      <c r="W183" s="212">
        <v>4672</v>
      </c>
      <c r="X183" s="212">
        <v>4672</v>
      </c>
      <c r="Y183" s="212"/>
      <c r="Z183" s="212"/>
      <c r="AA183" s="273">
        <v>3000</v>
      </c>
      <c r="AB183" s="273">
        <v>3000</v>
      </c>
      <c r="AC183" s="567"/>
      <c r="AD183" s="273"/>
      <c r="AE183" s="566">
        <v>3000</v>
      </c>
      <c r="AF183" s="566">
        <v>3000</v>
      </c>
      <c r="AG183" s="212">
        <f t="shared" ref="AG183:AH185" si="277">W183+AA183</f>
        <v>7672</v>
      </c>
      <c r="AH183" s="212">
        <f t="shared" si="277"/>
        <v>7672</v>
      </c>
      <c r="AI183" s="212"/>
      <c r="AJ183" s="212"/>
      <c r="AK183" s="212">
        <f>AL183</f>
        <v>2328</v>
      </c>
      <c r="AL183" s="212">
        <f>S183-AH183</f>
        <v>2328</v>
      </c>
      <c r="AM183" s="212">
        <f t="shared" ref="AK183:AN185" si="278">AQ183</f>
        <v>0</v>
      </c>
      <c r="AN183" s="212">
        <f t="shared" si="278"/>
        <v>0</v>
      </c>
      <c r="AO183" s="273">
        <f>AP183</f>
        <v>2000</v>
      </c>
      <c r="AP183" s="273">
        <v>2000</v>
      </c>
      <c r="AQ183" s="273"/>
      <c r="AR183" s="273"/>
      <c r="AS183" s="212">
        <f t="shared" ref="AS183" si="279">V183+AP183</f>
        <v>9000</v>
      </c>
      <c r="AT183" s="212">
        <f t="shared" ref="AT183" si="280">AU183</f>
        <v>9672</v>
      </c>
      <c r="AU183" s="212">
        <f t="shared" ref="AU183" si="281">AH183+AP183</f>
        <v>9672</v>
      </c>
      <c r="AV183" s="212">
        <f t="shared" ref="AV183" si="282">AW183</f>
        <v>0</v>
      </c>
      <c r="AW183" s="212"/>
      <c r="AX183" s="273"/>
      <c r="AY183" s="273"/>
      <c r="AZ183" s="261"/>
      <c r="BA183" s="201"/>
    </row>
    <row r="184" spans="1:53" s="262" customFormat="1" ht="45.6" customHeight="1">
      <c r="A184" s="649">
        <v>1</v>
      </c>
      <c r="B184" s="274" t="s">
        <v>451</v>
      </c>
      <c r="C184" s="243" t="s">
        <v>447</v>
      </c>
      <c r="D184" s="243"/>
      <c r="E184" s="319" t="s">
        <v>819</v>
      </c>
      <c r="F184" s="243"/>
      <c r="G184" s="243"/>
      <c r="H184" s="243"/>
      <c r="I184" s="248" t="s">
        <v>452</v>
      </c>
      <c r="J184" s="212">
        <v>13955</v>
      </c>
      <c r="K184" s="212">
        <v>5600</v>
      </c>
      <c r="L184" s="212">
        <v>11483</v>
      </c>
      <c r="M184" s="212"/>
      <c r="N184" s="212">
        <v>9256</v>
      </c>
      <c r="O184" s="212">
        <v>1000</v>
      </c>
      <c r="P184" s="212">
        <f t="shared" si="276"/>
        <v>12983</v>
      </c>
      <c r="Q184" s="212">
        <f t="shared" si="276"/>
        <v>1500</v>
      </c>
      <c r="R184" s="212">
        <v>5600</v>
      </c>
      <c r="S184" s="212">
        <v>5600</v>
      </c>
      <c r="T184" s="212"/>
      <c r="U184" s="212"/>
      <c r="V184" s="212">
        <v>2500</v>
      </c>
      <c r="W184" s="212">
        <v>1500</v>
      </c>
      <c r="X184" s="212">
        <v>1500</v>
      </c>
      <c r="Y184" s="212"/>
      <c r="Z184" s="212"/>
      <c r="AA184" s="273">
        <f>AB184</f>
        <v>1000</v>
      </c>
      <c r="AB184" s="273">
        <v>1000</v>
      </c>
      <c r="AC184" s="273"/>
      <c r="AD184" s="273"/>
      <c r="AE184" s="273"/>
      <c r="AF184" s="273"/>
      <c r="AG184" s="212">
        <v>2508</v>
      </c>
      <c r="AH184" s="212">
        <f>AG184</f>
        <v>2508</v>
      </c>
      <c r="AI184" s="212"/>
      <c r="AJ184" s="212"/>
      <c r="AK184" s="212">
        <f>AL184</f>
        <v>3000</v>
      </c>
      <c r="AL184" s="212">
        <v>3000</v>
      </c>
      <c r="AM184" s="212">
        <f t="shared" si="278"/>
        <v>0</v>
      </c>
      <c r="AN184" s="212">
        <f t="shared" si="278"/>
        <v>0</v>
      </c>
      <c r="AO184" s="273">
        <f>AP184</f>
        <v>2000</v>
      </c>
      <c r="AP184" s="273">
        <v>2000</v>
      </c>
      <c r="AQ184" s="273"/>
      <c r="AR184" s="273"/>
      <c r="AS184" s="212">
        <f t="shared" ref="AS184:AS185" si="283">V184+AP184</f>
        <v>4500</v>
      </c>
      <c r="AT184" s="212">
        <f t="shared" ref="AT184:AT185" si="284">AU184</f>
        <v>4508</v>
      </c>
      <c r="AU184" s="212">
        <f t="shared" ref="AU184:AU185" si="285">AH184+AP184</f>
        <v>4508</v>
      </c>
      <c r="AV184" s="212">
        <f t="shared" ref="AV184:AV185" si="286">AW184</f>
        <v>1092</v>
      </c>
      <c r="AW184" s="212">
        <f>S184-AU184</f>
        <v>1092</v>
      </c>
      <c r="AX184" s="273"/>
      <c r="AY184" s="273"/>
      <c r="AZ184" s="261" t="s">
        <v>783</v>
      </c>
      <c r="BA184" s="201"/>
    </row>
    <row r="185" spans="1:53" s="270" customFormat="1" ht="54" customHeight="1">
      <c r="A185" s="324">
        <v>2</v>
      </c>
      <c r="B185" s="325" t="s">
        <v>453</v>
      </c>
      <c r="C185" s="243" t="s">
        <v>447</v>
      </c>
      <c r="D185" s="243"/>
      <c r="E185" s="319" t="s">
        <v>819</v>
      </c>
      <c r="F185" s="243"/>
      <c r="G185" s="272"/>
      <c r="H185" s="272"/>
      <c r="I185" s="497" t="s">
        <v>454</v>
      </c>
      <c r="J185" s="212">
        <v>11000</v>
      </c>
      <c r="K185" s="212">
        <v>6600</v>
      </c>
      <c r="L185" s="212"/>
      <c r="M185" s="212"/>
      <c r="N185" s="212"/>
      <c r="O185" s="212"/>
      <c r="P185" s="212">
        <f t="shared" si="276"/>
        <v>86</v>
      </c>
      <c r="Q185" s="212">
        <f t="shared" si="276"/>
        <v>86</v>
      </c>
      <c r="R185" s="212">
        <v>11000</v>
      </c>
      <c r="S185" s="212">
        <v>11000</v>
      </c>
      <c r="T185" s="212"/>
      <c r="U185" s="212"/>
      <c r="V185" s="212">
        <v>3200</v>
      </c>
      <c r="W185" s="212">
        <v>86</v>
      </c>
      <c r="X185" s="212">
        <v>86</v>
      </c>
      <c r="Y185" s="212"/>
      <c r="Z185" s="212"/>
      <c r="AA185" s="212">
        <v>3200</v>
      </c>
      <c r="AB185" s="212">
        <v>3200</v>
      </c>
      <c r="AC185" s="212"/>
      <c r="AD185" s="212"/>
      <c r="AE185" s="566">
        <v>2518.703</v>
      </c>
      <c r="AF185" s="566">
        <v>2518.703</v>
      </c>
      <c r="AG185" s="212">
        <f t="shared" si="277"/>
        <v>3286</v>
      </c>
      <c r="AH185" s="212">
        <f t="shared" si="277"/>
        <v>3286</v>
      </c>
      <c r="AI185" s="212"/>
      <c r="AJ185" s="212"/>
      <c r="AK185" s="212">
        <f t="shared" si="278"/>
        <v>2500</v>
      </c>
      <c r="AL185" s="212">
        <f t="shared" si="278"/>
        <v>2500</v>
      </c>
      <c r="AM185" s="212">
        <f t="shared" si="278"/>
        <v>0</v>
      </c>
      <c r="AN185" s="212">
        <f t="shared" si="278"/>
        <v>0</v>
      </c>
      <c r="AO185" s="212">
        <v>2500</v>
      </c>
      <c r="AP185" s="212">
        <f>AO185</f>
        <v>2500</v>
      </c>
      <c r="AQ185" s="212"/>
      <c r="AR185" s="212"/>
      <c r="AS185" s="212">
        <f t="shared" si="283"/>
        <v>5700</v>
      </c>
      <c r="AT185" s="212">
        <f t="shared" si="284"/>
        <v>5786</v>
      </c>
      <c r="AU185" s="212">
        <f t="shared" si="285"/>
        <v>5786</v>
      </c>
      <c r="AV185" s="212">
        <f t="shared" si="286"/>
        <v>2600</v>
      </c>
      <c r="AW185" s="212">
        <f>4100-1500</f>
        <v>2600</v>
      </c>
      <c r="AX185" s="212"/>
      <c r="AY185" s="212"/>
      <c r="AZ185" s="261" t="s">
        <v>1030</v>
      </c>
      <c r="BA185" s="279"/>
    </row>
    <row r="186" spans="1:53" s="232" customFormat="1" ht="33" customHeight="1">
      <c r="A186" s="356" t="s">
        <v>46</v>
      </c>
      <c r="B186" s="540" t="s">
        <v>897</v>
      </c>
      <c r="C186" s="337"/>
      <c r="D186" s="337"/>
      <c r="E186" s="337"/>
      <c r="F186" s="337"/>
      <c r="G186" s="337"/>
      <c r="H186" s="337"/>
      <c r="I186" s="523"/>
      <c r="J186" s="355">
        <f>J187</f>
        <v>29800</v>
      </c>
      <c r="K186" s="355">
        <f t="shared" ref="K186:AY186" si="287">K187</f>
        <v>29800</v>
      </c>
      <c r="L186" s="355">
        <f t="shared" si="287"/>
        <v>0</v>
      </c>
      <c r="M186" s="355">
        <f t="shared" si="287"/>
        <v>0</v>
      </c>
      <c r="N186" s="355">
        <f t="shared" si="287"/>
        <v>0</v>
      </c>
      <c r="O186" s="355">
        <f t="shared" si="287"/>
        <v>0</v>
      </c>
      <c r="P186" s="355">
        <f t="shared" si="287"/>
        <v>390</v>
      </c>
      <c r="Q186" s="355">
        <f t="shared" si="287"/>
        <v>390</v>
      </c>
      <c r="R186" s="355">
        <f t="shared" si="287"/>
        <v>28020</v>
      </c>
      <c r="S186" s="355">
        <f t="shared" si="287"/>
        <v>28020</v>
      </c>
      <c r="T186" s="355">
        <f t="shared" si="287"/>
        <v>0</v>
      </c>
      <c r="U186" s="355">
        <f t="shared" si="287"/>
        <v>0</v>
      </c>
      <c r="V186" s="355">
        <f t="shared" si="287"/>
        <v>8300</v>
      </c>
      <c r="W186" s="355">
        <f t="shared" si="287"/>
        <v>390</v>
      </c>
      <c r="X186" s="355">
        <f t="shared" si="287"/>
        <v>390</v>
      </c>
      <c r="Y186" s="355">
        <f t="shared" si="287"/>
        <v>0</v>
      </c>
      <c r="Z186" s="355">
        <f t="shared" si="287"/>
        <v>0</v>
      </c>
      <c r="AA186" s="355">
        <f t="shared" si="287"/>
        <v>10300</v>
      </c>
      <c r="AB186" s="355">
        <f t="shared" si="287"/>
        <v>10300</v>
      </c>
      <c r="AC186" s="355">
        <f t="shared" si="287"/>
        <v>0</v>
      </c>
      <c r="AD186" s="355">
        <f t="shared" si="287"/>
        <v>0</v>
      </c>
      <c r="AE186" s="355">
        <f t="shared" si="287"/>
        <v>2740.6040000000003</v>
      </c>
      <c r="AF186" s="355">
        <f t="shared" si="287"/>
        <v>7630.6040000000003</v>
      </c>
      <c r="AG186" s="355">
        <f t="shared" si="287"/>
        <v>10690</v>
      </c>
      <c r="AH186" s="355">
        <f t="shared" si="287"/>
        <v>10690</v>
      </c>
      <c r="AI186" s="355"/>
      <c r="AJ186" s="355"/>
      <c r="AK186" s="355">
        <f t="shared" si="287"/>
        <v>8600</v>
      </c>
      <c r="AL186" s="355">
        <f t="shared" si="287"/>
        <v>8600</v>
      </c>
      <c r="AM186" s="355">
        <f t="shared" si="287"/>
        <v>0</v>
      </c>
      <c r="AN186" s="355">
        <f t="shared" si="287"/>
        <v>0</v>
      </c>
      <c r="AO186" s="355">
        <f t="shared" si="287"/>
        <v>8600</v>
      </c>
      <c r="AP186" s="355">
        <f t="shared" si="287"/>
        <v>8600</v>
      </c>
      <c r="AQ186" s="355">
        <f t="shared" si="287"/>
        <v>0</v>
      </c>
      <c r="AR186" s="355">
        <f t="shared" si="287"/>
        <v>0</v>
      </c>
      <c r="AS186" s="215">
        <f t="shared" si="287"/>
        <v>16900</v>
      </c>
      <c r="AT186" s="215">
        <f t="shared" si="287"/>
        <v>19290</v>
      </c>
      <c r="AU186" s="215">
        <f t="shared" si="287"/>
        <v>19290</v>
      </c>
      <c r="AV186" s="215">
        <f t="shared" si="287"/>
        <v>8600</v>
      </c>
      <c r="AW186" s="215">
        <f t="shared" si="287"/>
        <v>8600</v>
      </c>
      <c r="AX186" s="215">
        <f t="shared" si="287"/>
        <v>0</v>
      </c>
      <c r="AY186" s="215">
        <f t="shared" si="287"/>
        <v>0</v>
      </c>
      <c r="AZ186" s="337"/>
    </row>
    <row r="187" spans="1:53" s="257" customFormat="1" ht="29.45" customHeight="1">
      <c r="A187" s="275" t="s">
        <v>35</v>
      </c>
      <c r="B187" s="360" t="s">
        <v>629</v>
      </c>
      <c r="C187" s="255"/>
      <c r="D187" s="255"/>
      <c r="E187" s="255"/>
      <c r="F187" s="255"/>
      <c r="G187" s="255"/>
      <c r="H187" s="255"/>
      <c r="I187" s="256"/>
      <c r="J187" s="277">
        <f>SUM(J188:J190)</f>
        <v>29800</v>
      </c>
      <c r="K187" s="277">
        <f t="shared" ref="K187:AR187" si="288">SUM(K188:K190)</f>
        <v>29800</v>
      </c>
      <c r="L187" s="277">
        <f t="shared" si="288"/>
        <v>0</v>
      </c>
      <c r="M187" s="277">
        <f t="shared" si="288"/>
        <v>0</v>
      </c>
      <c r="N187" s="277">
        <f t="shared" si="288"/>
        <v>0</v>
      </c>
      <c r="O187" s="277">
        <f t="shared" si="288"/>
        <v>0</v>
      </c>
      <c r="P187" s="277">
        <f t="shared" si="288"/>
        <v>390</v>
      </c>
      <c r="Q187" s="277">
        <f t="shared" si="288"/>
        <v>390</v>
      </c>
      <c r="R187" s="277">
        <f t="shared" si="288"/>
        <v>28020</v>
      </c>
      <c r="S187" s="277">
        <f t="shared" si="288"/>
        <v>28020</v>
      </c>
      <c r="T187" s="277">
        <f t="shared" si="288"/>
        <v>0</v>
      </c>
      <c r="U187" s="277">
        <f t="shared" si="288"/>
        <v>0</v>
      </c>
      <c r="V187" s="277">
        <f t="shared" ref="V187" si="289">SUM(V188:V190)</f>
        <v>8300</v>
      </c>
      <c r="W187" s="277">
        <f t="shared" si="288"/>
        <v>390</v>
      </c>
      <c r="X187" s="277">
        <f t="shared" si="288"/>
        <v>390</v>
      </c>
      <c r="Y187" s="277">
        <f t="shared" si="288"/>
        <v>0</v>
      </c>
      <c r="Z187" s="277">
        <f t="shared" si="288"/>
        <v>0</v>
      </c>
      <c r="AA187" s="277">
        <f t="shared" si="288"/>
        <v>10300</v>
      </c>
      <c r="AB187" s="277">
        <f t="shared" si="288"/>
        <v>10300</v>
      </c>
      <c r="AC187" s="277">
        <f t="shared" si="288"/>
        <v>0</v>
      </c>
      <c r="AD187" s="277">
        <f t="shared" si="288"/>
        <v>0</v>
      </c>
      <c r="AE187" s="277">
        <f t="shared" si="288"/>
        <v>2740.6040000000003</v>
      </c>
      <c r="AF187" s="277">
        <f t="shared" si="288"/>
        <v>7630.6040000000003</v>
      </c>
      <c r="AG187" s="277">
        <f t="shared" si="288"/>
        <v>10690</v>
      </c>
      <c r="AH187" s="277">
        <f t="shared" si="288"/>
        <v>10690</v>
      </c>
      <c r="AI187" s="277"/>
      <c r="AJ187" s="277"/>
      <c r="AK187" s="277">
        <f t="shared" si="288"/>
        <v>8600</v>
      </c>
      <c r="AL187" s="277">
        <f t="shared" si="288"/>
        <v>8600</v>
      </c>
      <c r="AM187" s="277">
        <f t="shared" si="288"/>
        <v>0</v>
      </c>
      <c r="AN187" s="277">
        <f t="shared" si="288"/>
        <v>0</v>
      </c>
      <c r="AO187" s="277">
        <f t="shared" si="288"/>
        <v>8600</v>
      </c>
      <c r="AP187" s="277">
        <f>SUM(AP188:AP190)</f>
        <v>8600</v>
      </c>
      <c r="AQ187" s="277">
        <f t="shared" si="288"/>
        <v>0</v>
      </c>
      <c r="AR187" s="277">
        <f t="shared" si="288"/>
        <v>0</v>
      </c>
      <c r="AS187" s="277">
        <f t="shared" ref="AS187:AY187" si="290">SUM(AS188:AS190)</f>
        <v>16900</v>
      </c>
      <c r="AT187" s="277">
        <f t="shared" si="290"/>
        <v>19290</v>
      </c>
      <c r="AU187" s="277">
        <f t="shared" si="290"/>
        <v>19290</v>
      </c>
      <c r="AV187" s="277">
        <f t="shared" si="290"/>
        <v>8600</v>
      </c>
      <c r="AW187" s="277">
        <f>SUM(AW188:AW190)</f>
        <v>8600</v>
      </c>
      <c r="AX187" s="277">
        <f t="shared" si="290"/>
        <v>0</v>
      </c>
      <c r="AY187" s="277">
        <f t="shared" si="290"/>
        <v>0</v>
      </c>
      <c r="AZ187" s="255"/>
      <c r="BA187" s="533"/>
    </row>
    <row r="188" spans="1:53" s="270" customFormat="1" ht="43.5" customHeight="1">
      <c r="A188" s="494">
        <v>1</v>
      </c>
      <c r="B188" s="318" t="s">
        <v>455</v>
      </c>
      <c r="C188" s="495" t="s">
        <v>447</v>
      </c>
      <c r="D188" s="495"/>
      <c r="E188" s="319" t="s">
        <v>819</v>
      </c>
      <c r="F188" s="495"/>
      <c r="G188" s="272"/>
      <c r="H188" s="303" t="s">
        <v>784</v>
      </c>
      <c r="I188" s="248" t="s">
        <v>456</v>
      </c>
      <c r="J188" s="273">
        <v>17800</v>
      </c>
      <c r="K188" s="273">
        <v>17800</v>
      </c>
      <c r="L188" s="212"/>
      <c r="M188" s="212"/>
      <c r="N188" s="212"/>
      <c r="O188" s="212"/>
      <c r="P188" s="212">
        <f t="shared" ref="P188:Q190" si="291">L188+W188</f>
        <v>234</v>
      </c>
      <c r="Q188" s="212">
        <f t="shared" si="291"/>
        <v>234</v>
      </c>
      <c r="R188" s="212">
        <v>16020</v>
      </c>
      <c r="S188" s="212">
        <v>16020</v>
      </c>
      <c r="T188" s="212"/>
      <c r="U188" s="212"/>
      <c r="V188" s="212">
        <v>4800</v>
      </c>
      <c r="W188" s="212">
        <v>234</v>
      </c>
      <c r="X188" s="212">
        <v>234</v>
      </c>
      <c r="Y188" s="212"/>
      <c r="Z188" s="212"/>
      <c r="AA188" s="273">
        <f>+AB188</f>
        <v>6800</v>
      </c>
      <c r="AB188" s="273">
        <v>6800</v>
      </c>
      <c r="AC188" s="212"/>
      <c r="AD188" s="212"/>
      <c r="AE188" s="273">
        <v>606</v>
      </c>
      <c r="AF188" s="273">
        <v>4506</v>
      </c>
      <c r="AG188" s="212">
        <f t="shared" si="250"/>
        <v>7034</v>
      </c>
      <c r="AH188" s="212">
        <f t="shared" si="251"/>
        <v>7034</v>
      </c>
      <c r="AI188" s="212"/>
      <c r="AJ188" s="212"/>
      <c r="AK188" s="212">
        <f>AL188</f>
        <v>4000</v>
      </c>
      <c r="AL188" s="212">
        <f>AO188</f>
        <v>4000</v>
      </c>
      <c r="AM188" s="212">
        <f t="shared" ref="AM188:AM194" si="292">AQ188</f>
        <v>0</v>
      </c>
      <c r="AN188" s="212">
        <f t="shared" ref="AN188:AN194" si="293">AR188</f>
        <v>0</v>
      </c>
      <c r="AO188" s="212">
        <f>AP188</f>
        <v>4000</v>
      </c>
      <c r="AP188" s="212">
        <v>4000</v>
      </c>
      <c r="AQ188" s="212"/>
      <c r="AR188" s="212"/>
      <c r="AS188" s="212">
        <f t="shared" ref="AS188" si="294">V188+AP188</f>
        <v>8800</v>
      </c>
      <c r="AT188" s="212">
        <f t="shared" ref="AT188" si="295">AU188</f>
        <v>11034</v>
      </c>
      <c r="AU188" s="212">
        <f t="shared" ref="AU188" si="296">AH188+AP188</f>
        <v>11034</v>
      </c>
      <c r="AV188" s="212">
        <f t="shared" ref="AV188" si="297">AW188</f>
        <v>4900</v>
      </c>
      <c r="AW188" s="212">
        <v>4900</v>
      </c>
      <c r="AX188" s="212"/>
      <c r="AY188" s="212"/>
      <c r="AZ188" s="261" t="s">
        <v>783</v>
      </c>
      <c r="BA188" s="279"/>
    </row>
    <row r="189" spans="1:53" s="270" customFormat="1" ht="39" customHeight="1">
      <c r="A189" s="324">
        <v>2</v>
      </c>
      <c r="B189" s="498" t="s">
        <v>457</v>
      </c>
      <c r="C189" s="243" t="s">
        <v>447</v>
      </c>
      <c r="D189" s="243"/>
      <c r="E189" s="319" t="s">
        <v>819</v>
      </c>
      <c r="F189" s="243"/>
      <c r="G189" s="272"/>
      <c r="H189" s="272"/>
      <c r="I189" s="211" t="s">
        <v>458</v>
      </c>
      <c r="J189" s="212">
        <v>5000</v>
      </c>
      <c r="K189" s="212">
        <v>5000</v>
      </c>
      <c r="L189" s="212"/>
      <c r="M189" s="212"/>
      <c r="N189" s="212"/>
      <c r="O189" s="212"/>
      <c r="P189" s="212">
        <f t="shared" si="291"/>
        <v>65</v>
      </c>
      <c r="Q189" s="212">
        <f t="shared" si="291"/>
        <v>65</v>
      </c>
      <c r="R189" s="212">
        <f>S189</f>
        <v>5000</v>
      </c>
      <c r="S189" s="212">
        <v>5000</v>
      </c>
      <c r="T189" s="212"/>
      <c r="U189" s="212"/>
      <c r="V189" s="212">
        <v>1400</v>
      </c>
      <c r="W189" s="212">
        <v>65</v>
      </c>
      <c r="X189" s="212">
        <v>65</v>
      </c>
      <c r="Y189" s="212"/>
      <c r="Z189" s="212"/>
      <c r="AA189" s="212">
        <v>1400</v>
      </c>
      <c r="AB189" s="212">
        <v>1400</v>
      </c>
      <c r="AC189" s="212"/>
      <c r="AD189" s="212"/>
      <c r="AE189" s="273">
        <v>292.536</v>
      </c>
      <c r="AF189" s="273">
        <v>1282.5360000000001</v>
      </c>
      <c r="AG189" s="212">
        <f t="shared" si="250"/>
        <v>1465</v>
      </c>
      <c r="AH189" s="212">
        <f t="shared" si="251"/>
        <v>1465</v>
      </c>
      <c r="AI189" s="212"/>
      <c r="AJ189" s="212"/>
      <c r="AK189" s="212">
        <f t="shared" ref="AK189:AK190" si="298">AO189</f>
        <v>1600</v>
      </c>
      <c r="AL189" s="212">
        <f t="shared" ref="AL189:AL190" si="299">AP189</f>
        <v>1600</v>
      </c>
      <c r="AM189" s="212">
        <f t="shared" si="292"/>
        <v>0</v>
      </c>
      <c r="AN189" s="212">
        <f t="shared" si="293"/>
        <v>0</v>
      </c>
      <c r="AO189" s="212">
        <f>AP189</f>
        <v>1600</v>
      </c>
      <c r="AP189" s="212">
        <v>1600</v>
      </c>
      <c r="AQ189" s="212"/>
      <c r="AR189" s="212"/>
      <c r="AS189" s="212">
        <f t="shared" ref="AS189:AS190" si="300">V189+AP189</f>
        <v>3000</v>
      </c>
      <c r="AT189" s="212">
        <f t="shared" ref="AT189:AT190" si="301">AU189</f>
        <v>3065</v>
      </c>
      <c r="AU189" s="212">
        <f t="shared" ref="AU189:AU190" si="302">AH189+AP189</f>
        <v>3065</v>
      </c>
      <c r="AV189" s="212">
        <f t="shared" ref="AV189:AV190" si="303">AW189</f>
        <v>1900</v>
      </c>
      <c r="AW189" s="212">
        <v>1900</v>
      </c>
      <c r="AX189" s="212"/>
      <c r="AY189" s="212"/>
      <c r="AZ189" s="261" t="s">
        <v>783</v>
      </c>
      <c r="BA189" s="279">
        <f>AW189</f>
        <v>1900</v>
      </c>
    </row>
    <row r="190" spans="1:53" s="270" customFormat="1" ht="34.5" customHeight="1">
      <c r="A190" s="324">
        <v>3</v>
      </c>
      <c r="B190" s="289" t="s">
        <v>459</v>
      </c>
      <c r="C190" s="243" t="s">
        <v>447</v>
      </c>
      <c r="D190" s="243"/>
      <c r="E190" s="319" t="s">
        <v>819</v>
      </c>
      <c r="F190" s="243"/>
      <c r="G190" s="272"/>
      <c r="H190" s="272"/>
      <c r="I190" s="211" t="s">
        <v>460</v>
      </c>
      <c r="J190" s="212">
        <v>7000</v>
      </c>
      <c r="K190" s="212">
        <v>7000</v>
      </c>
      <c r="L190" s="212"/>
      <c r="M190" s="212"/>
      <c r="N190" s="212"/>
      <c r="O190" s="212"/>
      <c r="P190" s="212">
        <f t="shared" si="291"/>
        <v>91</v>
      </c>
      <c r="Q190" s="212">
        <f t="shared" si="291"/>
        <v>91</v>
      </c>
      <c r="R190" s="212">
        <f>S190</f>
        <v>7000</v>
      </c>
      <c r="S190" s="212">
        <v>7000</v>
      </c>
      <c r="T190" s="212"/>
      <c r="U190" s="212"/>
      <c r="V190" s="212">
        <v>2100</v>
      </c>
      <c r="W190" s="212">
        <v>91</v>
      </c>
      <c r="X190" s="212">
        <v>91</v>
      </c>
      <c r="Y190" s="212"/>
      <c r="Z190" s="212"/>
      <c r="AA190" s="212">
        <v>2100</v>
      </c>
      <c r="AB190" s="273">
        <v>2100</v>
      </c>
      <c r="AC190" s="212"/>
      <c r="AD190" s="212"/>
      <c r="AE190" s="273">
        <v>1842.068</v>
      </c>
      <c r="AF190" s="273">
        <v>1842.068</v>
      </c>
      <c r="AG190" s="212">
        <f t="shared" si="250"/>
        <v>2191</v>
      </c>
      <c r="AH190" s="212">
        <f t="shared" si="251"/>
        <v>2191</v>
      </c>
      <c r="AI190" s="212"/>
      <c r="AJ190" s="212"/>
      <c r="AK190" s="212">
        <f t="shared" si="298"/>
        <v>3000</v>
      </c>
      <c r="AL190" s="212">
        <f t="shared" si="299"/>
        <v>3000</v>
      </c>
      <c r="AM190" s="212">
        <f t="shared" si="292"/>
        <v>0</v>
      </c>
      <c r="AN190" s="212">
        <f t="shared" si="293"/>
        <v>0</v>
      </c>
      <c r="AO190" s="212">
        <f>AP190</f>
        <v>3000</v>
      </c>
      <c r="AP190" s="212">
        <v>3000</v>
      </c>
      <c r="AQ190" s="212"/>
      <c r="AR190" s="212"/>
      <c r="AS190" s="212">
        <f t="shared" si="300"/>
        <v>5100</v>
      </c>
      <c r="AT190" s="212">
        <f t="shared" si="301"/>
        <v>5191</v>
      </c>
      <c r="AU190" s="212">
        <f t="shared" si="302"/>
        <v>5191</v>
      </c>
      <c r="AV190" s="212">
        <f t="shared" si="303"/>
        <v>1800</v>
      </c>
      <c r="AW190" s="212">
        <v>1800</v>
      </c>
      <c r="AX190" s="212"/>
      <c r="AY190" s="212"/>
      <c r="AZ190" s="261" t="s">
        <v>783</v>
      </c>
      <c r="BA190" s="279">
        <f>AW190</f>
        <v>1800</v>
      </c>
    </row>
    <row r="191" spans="1:53" s="257" customFormat="1" ht="38.25" customHeight="1">
      <c r="A191" s="227" t="s">
        <v>278</v>
      </c>
      <c r="B191" s="234" t="s">
        <v>902</v>
      </c>
      <c r="C191" s="229"/>
      <c r="D191" s="229"/>
      <c r="E191" s="229"/>
      <c r="F191" s="229"/>
      <c r="G191" s="255"/>
      <c r="H191" s="255"/>
      <c r="I191" s="217"/>
      <c r="J191" s="215">
        <f>J192</f>
        <v>58890</v>
      </c>
      <c r="K191" s="215">
        <f t="shared" ref="K191:AY191" si="304">K192</f>
        <v>58890</v>
      </c>
      <c r="L191" s="215">
        <f t="shared" si="304"/>
        <v>0</v>
      </c>
      <c r="M191" s="215">
        <f t="shared" si="304"/>
        <v>0</v>
      </c>
      <c r="N191" s="215">
        <f t="shared" si="304"/>
        <v>0</v>
      </c>
      <c r="O191" s="215">
        <f t="shared" si="304"/>
        <v>0</v>
      </c>
      <c r="P191" s="215">
        <f t="shared" si="304"/>
        <v>556</v>
      </c>
      <c r="Q191" s="215">
        <f t="shared" si="304"/>
        <v>556</v>
      </c>
      <c r="R191" s="215">
        <f t="shared" si="304"/>
        <v>58890</v>
      </c>
      <c r="S191" s="215">
        <f t="shared" si="304"/>
        <v>58890</v>
      </c>
      <c r="T191" s="215">
        <f t="shared" si="304"/>
        <v>0</v>
      </c>
      <c r="U191" s="215">
        <f t="shared" si="304"/>
        <v>0</v>
      </c>
      <c r="V191" s="215">
        <f t="shared" si="304"/>
        <v>270</v>
      </c>
      <c r="W191" s="215">
        <f t="shared" si="304"/>
        <v>556</v>
      </c>
      <c r="X191" s="215">
        <f t="shared" si="304"/>
        <v>556</v>
      </c>
      <c r="Y191" s="215">
        <f t="shared" si="304"/>
        <v>0</v>
      </c>
      <c r="Z191" s="215">
        <f t="shared" si="304"/>
        <v>0</v>
      </c>
      <c r="AA191" s="215">
        <f t="shared" si="304"/>
        <v>306</v>
      </c>
      <c r="AB191" s="215">
        <f t="shared" si="304"/>
        <v>306</v>
      </c>
      <c r="AC191" s="215">
        <f t="shared" si="304"/>
        <v>0</v>
      </c>
      <c r="AD191" s="215">
        <f t="shared" si="304"/>
        <v>0</v>
      </c>
      <c r="AE191" s="215">
        <f t="shared" si="304"/>
        <v>0</v>
      </c>
      <c r="AF191" s="215">
        <f t="shared" si="304"/>
        <v>0</v>
      </c>
      <c r="AG191" s="215">
        <f t="shared" si="304"/>
        <v>862</v>
      </c>
      <c r="AH191" s="215">
        <f t="shared" si="304"/>
        <v>862</v>
      </c>
      <c r="AI191" s="215"/>
      <c r="AJ191" s="215"/>
      <c r="AK191" s="215">
        <f t="shared" si="304"/>
        <v>17771.333333333336</v>
      </c>
      <c r="AL191" s="215">
        <f t="shared" si="304"/>
        <v>17771.333333333336</v>
      </c>
      <c r="AM191" s="215">
        <f t="shared" si="304"/>
        <v>0</v>
      </c>
      <c r="AN191" s="215">
        <f t="shared" si="304"/>
        <v>0</v>
      </c>
      <c r="AO191" s="215">
        <f t="shared" si="304"/>
        <v>14638</v>
      </c>
      <c r="AP191" s="215">
        <f t="shared" si="304"/>
        <v>14638</v>
      </c>
      <c r="AQ191" s="215">
        <f t="shared" si="304"/>
        <v>0</v>
      </c>
      <c r="AR191" s="215">
        <f t="shared" si="304"/>
        <v>0</v>
      </c>
      <c r="AS191" s="215">
        <f t="shared" si="304"/>
        <v>14908</v>
      </c>
      <c r="AT191" s="215">
        <f t="shared" si="304"/>
        <v>15500</v>
      </c>
      <c r="AU191" s="215">
        <f t="shared" si="304"/>
        <v>15500</v>
      </c>
      <c r="AV191" s="215">
        <f t="shared" si="304"/>
        <v>21540</v>
      </c>
      <c r="AW191" s="215">
        <f t="shared" si="304"/>
        <v>21540</v>
      </c>
      <c r="AX191" s="215">
        <f t="shared" si="304"/>
        <v>0</v>
      </c>
      <c r="AY191" s="215">
        <f t="shared" si="304"/>
        <v>0</v>
      </c>
      <c r="AZ191" s="229"/>
      <c r="BA191" s="533"/>
    </row>
    <row r="192" spans="1:53" s="257" customFormat="1" ht="36" customHeight="1">
      <c r="A192" s="275" t="s">
        <v>35</v>
      </c>
      <c r="B192" s="236" t="s">
        <v>629</v>
      </c>
      <c r="C192" s="229"/>
      <c r="D192" s="229"/>
      <c r="E192" s="229"/>
      <c r="F192" s="229"/>
      <c r="G192" s="255"/>
      <c r="H192" s="255"/>
      <c r="I192" s="217"/>
      <c r="J192" s="215">
        <f t="shared" ref="J192:AH192" si="305">SUM(J193:J198)</f>
        <v>58890</v>
      </c>
      <c r="K192" s="215">
        <f t="shared" si="305"/>
        <v>58890</v>
      </c>
      <c r="L192" s="215">
        <f t="shared" si="305"/>
        <v>0</v>
      </c>
      <c r="M192" s="215">
        <f t="shared" si="305"/>
        <v>0</v>
      </c>
      <c r="N192" s="215">
        <f t="shared" si="305"/>
        <v>0</v>
      </c>
      <c r="O192" s="215">
        <f t="shared" si="305"/>
        <v>0</v>
      </c>
      <c r="P192" s="215">
        <f t="shared" si="305"/>
        <v>556</v>
      </c>
      <c r="Q192" s="215">
        <f t="shared" si="305"/>
        <v>556</v>
      </c>
      <c r="R192" s="215">
        <f t="shared" si="305"/>
        <v>58890</v>
      </c>
      <c r="S192" s="215">
        <f t="shared" si="305"/>
        <v>58890</v>
      </c>
      <c r="T192" s="215">
        <f t="shared" si="305"/>
        <v>0</v>
      </c>
      <c r="U192" s="215">
        <f t="shared" si="305"/>
        <v>0</v>
      </c>
      <c r="V192" s="215">
        <f t="shared" ref="V192" si="306">SUM(V193:V198)</f>
        <v>270</v>
      </c>
      <c r="W192" s="215">
        <f t="shared" si="305"/>
        <v>556</v>
      </c>
      <c r="X192" s="215">
        <f t="shared" si="305"/>
        <v>556</v>
      </c>
      <c r="Y192" s="215">
        <f t="shared" si="305"/>
        <v>0</v>
      </c>
      <c r="Z192" s="215">
        <f t="shared" si="305"/>
        <v>0</v>
      </c>
      <c r="AA192" s="215">
        <f t="shared" si="305"/>
        <v>306</v>
      </c>
      <c r="AB192" s="215">
        <f t="shared" si="305"/>
        <v>306</v>
      </c>
      <c r="AC192" s="215">
        <f t="shared" si="305"/>
        <v>0</v>
      </c>
      <c r="AD192" s="215">
        <f t="shared" si="305"/>
        <v>0</v>
      </c>
      <c r="AE192" s="215">
        <f t="shared" si="305"/>
        <v>0</v>
      </c>
      <c r="AF192" s="215">
        <f t="shared" si="305"/>
        <v>0</v>
      </c>
      <c r="AG192" s="215">
        <f t="shared" si="305"/>
        <v>862</v>
      </c>
      <c r="AH192" s="215">
        <f t="shared" si="305"/>
        <v>862</v>
      </c>
      <c r="AI192" s="215"/>
      <c r="AJ192" s="215"/>
      <c r="AK192" s="215">
        <f t="shared" ref="AK192:AR192" si="307">SUM(AK193:AK198)</f>
        <v>17771.333333333336</v>
      </c>
      <c r="AL192" s="215">
        <f t="shared" si="307"/>
        <v>17771.333333333336</v>
      </c>
      <c r="AM192" s="215">
        <f t="shared" si="307"/>
        <v>0</v>
      </c>
      <c r="AN192" s="215">
        <f t="shared" si="307"/>
        <v>0</v>
      </c>
      <c r="AO192" s="215">
        <f t="shared" si="307"/>
        <v>14638</v>
      </c>
      <c r="AP192" s="215">
        <f>SUM(AP193:AP198)</f>
        <v>14638</v>
      </c>
      <c r="AQ192" s="215">
        <f t="shared" si="307"/>
        <v>0</v>
      </c>
      <c r="AR192" s="215">
        <f t="shared" si="307"/>
        <v>0</v>
      </c>
      <c r="AS192" s="215">
        <f t="shared" ref="AS192:AY192" si="308">SUM(AS193:AS198)</f>
        <v>14908</v>
      </c>
      <c r="AT192" s="215">
        <f t="shared" si="308"/>
        <v>15500</v>
      </c>
      <c r="AU192" s="215">
        <f t="shared" si="308"/>
        <v>15500</v>
      </c>
      <c r="AV192" s="215">
        <f t="shared" si="308"/>
        <v>21540</v>
      </c>
      <c r="AW192" s="215">
        <f>SUM(AW193:AW198)</f>
        <v>21540</v>
      </c>
      <c r="AX192" s="215">
        <f t="shared" si="308"/>
        <v>0</v>
      </c>
      <c r="AY192" s="215">
        <f t="shared" si="308"/>
        <v>0</v>
      </c>
      <c r="AZ192" s="229"/>
      <c r="BA192" s="533"/>
    </row>
    <row r="193" spans="1:53" s="270" customFormat="1" ht="35.450000000000003" customHeight="1">
      <c r="A193" s="324">
        <v>1</v>
      </c>
      <c r="B193" s="499" t="s">
        <v>461</v>
      </c>
      <c r="C193" s="243" t="s">
        <v>447</v>
      </c>
      <c r="D193" s="243"/>
      <c r="E193" s="319" t="s">
        <v>819</v>
      </c>
      <c r="F193" s="243"/>
      <c r="G193" s="272"/>
      <c r="H193" s="272"/>
      <c r="I193" s="211" t="s">
        <v>462</v>
      </c>
      <c r="J193" s="212">
        <v>6700</v>
      </c>
      <c r="K193" s="212">
        <v>6700</v>
      </c>
      <c r="L193" s="212"/>
      <c r="M193" s="212"/>
      <c r="N193" s="212"/>
      <c r="O193" s="212"/>
      <c r="P193" s="212">
        <f t="shared" ref="P193:Q198" si="309">L193+W193</f>
        <v>91</v>
      </c>
      <c r="Q193" s="212">
        <f t="shared" si="309"/>
        <v>91</v>
      </c>
      <c r="R193" s="212">
        <f>S193</f>
        <v>6700</v>
      </c>
      <c r="S193" s="212">
        <v>6700</v>
      </c>
      <c r="T193" s="212"/>
      <c r="U193" s="212"/>
      <c r="V193" s="212">
        <v>91</v>
      </c>
      <c r="W193" s="212">
        <v>91</v>
      </c>
      <c r="X193" s="212">
        <v>91</v>
      </c>
      <c r="Y193" s="212"/>
      <c r="Z193" s="212"/>
      <c r="AA193" s="212"/>
      <c r="AB193" s="212"/>
      <c r="AC193" s="212"/>
      <c r="AD193" s="212"/>
      <c r="AE193" s="212"/>
      <c r="AF193" s="212"/>
      <c r="AG193" s="212">
        <f t="shared" si="250"/>
        <v>91</v>
      </c>
      <c r="AH193" s="212">
        <f t="shared" si="251"/>
        <v>91</v>
      </c>
      <c r="AI193" s="212"/>
      <c r="AJ193" s="212"/>
      <c r="AK193" s="212">
        <f>S193/3</f>
        <v>2233.3333333333335</v>
      </c>
      <c r="AL193" s="212">
        <f>AK193</f>
        <v>2233.3333333333335</v>
      </c>
      <c r="AM193" s="212">
        <f t="shared" si="292"/>
        <v>0</v>
      </c>
      <c r="AN193" s="212">
        <f t="shared" si="293"/>
        <v>0</v>
      </c>
      <c r="AO193" s="212">
        <f t="shared" ref="AO193:AO198" si="310">AP193</f>
        <v>2000</v>
      </c>
      <c r="AP193" s="212">
        <v>2000</v>
      </c>
      <c r="AQ193" s="212"/>
      <c r="AR193" s="212"/>
      <c r="AS193" s="212">
        <f t="shared" ref="AS193" si="311">V193+AP193</f>
        <v>2091</v>
      </c>
      <c r="AT193" s="212">
        <f t="shared" ref="AT193" si="312">AU193</f>
        <v>2091</v>
      </c>
      <c r="AU193" s="212">
        <f t="shared" ref="AU193" si="313">AH193+AP193</f>
        <v>2091</v>
      </c>
      <c r="AV193" s="212">
        <f t="shared" ref="AV193" si="314">AW193</f>
        <v>2000</v>
      </c>
      <c r="AW193" s="212">
        <v>2000</v>
      </c>
      <c r="AX193" s="212"/>
      <c r="AY193" s="212"/>
      <c r="AZ193" s="211"/>
      <c r="BA193" s="279"/>
    </row>
    <row r="194" spans="1:53" s="270" customFormat="1" ht="41.45" customHeight="1">
      <c r="A194" s="324">
        <v>2</v>
      </c>
      <c r="B194" s="499" t="s">
        <v>463</v>
      </c>
      <c r="C194" s="243" t="s">
        <v>447</v>
      </c>
      <c r="D194" s="243"/>
      <c r="E194" s="319" t="s">
        <v>819</v>
      </c>
      <c r="F194" s="243"/>
      <c r="G194" s="272"/>
      <c r="H194" s="272"/>
      <c r="I194" s="210" t="s">
        <v>673</v>
      </c>
      <c r="J194" s="489">
        <v>7000</v>
      </c>
      <c r="K194" s="489">
        <f>J194</f>
        <v>7000</v>
      </c>
      <c r="L194" s="212"/>
      <c r="M194" s="212"/>
      <c r="N194" s="212"/>
      <c r="O194" s="212"/>
      <c r="P194" s="212">
        <f t="shared" si="309"/>
        <v>91</v>
      </c>
      <c r="Q194" s="212">
        <f t="shared" si="309"/>
        <v>91</v>
      </c>
      <c r="R194" s="212">
        <v>7000</v>
      </c>
      <c r="S194" s="212">
        <v>7000</v>
      </c>
      <c r="T194" s="212"/>
      <c r="U194" s="212"/>
      <c r="V194" s="212"/>
      <c r="W194" s="212">
        <v>91</v>
      </c>
      <c r="X194" s="212">
        <v>91</v>
      </c>
      <c r="Y194" s="212"/>
      <c r="Z194" s="212"/>
      <c r="AA194" s="212"/>
      <c r="AB194" s="212"/>
      <c r="AC194" s="212"/>
      <c r="AD194" s="212"/>
      <c r="AE194" s="212"/>
      <c r="AF194" s="212"/>
      <c r="AG194" s="212">
        <f t="shared" si="250"/>
        <v>91</v>
      </c>
      <c r="AH194" s="212">
        <f t="shared" si="251"/>
        <v>91</v>
      </c>
      <c r="AI194" s="212"/>
      <c r="AJ194" s="212"/>
      <c r="AK194" s="212">
        <f t="shared" ref="AK194:AK200" si="315">S194/3</f>
        <v>2333.3333333333335</v>
      </c>
      <c r="AL194" s="212">
        <f t="shared" ref="AL194:AL200" si="316">AK194</f>
        <v>2333.3333333333335</v>
      </c>
      <c r="AM194" s="212">
        <f t="shared" si="292"/>
        <v>0</v>
      </c>
      <c r="AN194" s="212">
        <f t="shared" si="293"/>
        <v>0</v>
      </c>
      <c r="AO194" s="212">
        <f t="shared" si="310"/>
        <v>2000</v>
      </c>
      <c r="AP194" s="212">
        <v>2000</v>
      </c>
      <c r="AQ194" s="212"/>
      <c r="AR194" s="212"/>
      <c r="AS194" s="212">
        <f t="shared" ref="AS194:AS198" si="317">V194+AP194</f>
        <v>2000</v>
      </c>
      <c r="AT194" s="212">
        <f t="shared" ref="AT194:AT198" si="318">AU194</f>
        <v>2091</v>
      </c>
      <c r="AU194" s="212">
        <f t="shared" ref="AU194:AU198" si="319">AH194+AP194</f>
        <v>2091</v>
      </c>
      <c r="AV194" s="212">
        <f t="shared" ref="AV194:AV198" si="320">AW194</f>
        <v>2500</v>
      </c>
      <c r="AW194" s="212">
        <v>2500</v>
      </c>
      <c r="AX194" s="212"/>
      <c r="AY194" s="212"/>
      <c r="AZ194" s="211"/>
      <c r="BA194" s="279"/>
    </row>
    <row r="195" spans="1:53" s="270" customFormat="1" ht="48.95" customHeight="1">
      <c r="A195" s="324">
        <v>3</v>
      </c>
      <c r="B195" s="290" t="s">
        <v>464</v>
      </c>
      <c r="C195" s="243" t="s">
        <v>447</v>
      </c>
      <c r="D195" s="243"/>
      <c r="E195" s="319" t="s">
        <v>819</v>
      </c>
      <c r="F195" s="243"/>
      <c r="G195" s="272"/>
      <c r="H195" s="272"/>
      <c r="I195" s="211" t="s">
        <v>465</v>
      </c>
      <c r="J195" s="212">
        <v>10000</v>
      </c>
      <c r="K195" s="212">
        <f>J195</f>
        <v>10000</v>
      </c>
      <c r="L195" s="212"/>
      <c r="M195" s="212"/>
      <c r="N195" s="212" t="s">
        <v>311</v>
      </c>
      <c r="O195" s="212"/>
      <c r="P195" s="212">
        <f t="shared" si="309"/>
        <v>195</v>
      </c>
      <c r="Q195" s="212">
        <f t="shared" si="309"/>
        <v>195</v>
      </c>
      <c r="R195" s="212">
        <f>S195</f>
        <v>10000</v>
      </c>
      <c r="S195" s="212">
        <v>10000</v>
      </c>
      <c r="T195" s="212"/>
      <c r="U195" s="212"/>
      <c r="V195" s="212"/>
      <c r="W195" s="212">
        <v>195</v>
      </c>
      <c r="X195" s="212">
        <v>195</v>
      </c>
      <c r="Y195" s="212"/>
      <c r="Z195" s="212"/>
      <c r="AA195" s="212"/>
      <c r="AB195" s="212"/>
      <c r="AC195" s="212"/>
      <c r="AD195" s="212"/>
      <c r="AE195" s="212"/>
      <c r="AF195" s="212"/>
      <c r="AG195" s="212">
        <f t="shared" ref="AG195:AH198" si="321">W195+AA195</f>
        <v>195</v>
      </c>
      <c r="AH195" s="212">
        <f t="shared" si="321"/>
        <v>195</v>
      </c>
      <c r="AI195" s="212"/>
      <c r="AJ195" s="212"/>
      <c r="AK195" s="212">
        <f t="shared" si="315"/>
        <v>3333.3333333333335</v>
      </c>
      <c r="AL195" s="212">
        <f t="shared" si="316"/>
        <v>3333.3333333333335</v>
      </c>
      <c r="AM195" s="212">
        <f t="shared" ref="AM195:AN198" si="322">AQ195</f>
        <v>0</v>
      </c>
      <c r="AN195" s="212">
        <f t="shared" si="322"/>
        <v>0</v>
      </c>
      <c r="AO195" s="212">
        <f t="shared" si="310"/>
        <v>3000</v>
      </c>
      <c r="AP195" s="212">
        <v>3000</v>
      </c>
      <c r="AQ195" s="212"/>
      <c r="AR195" s="212"/>
      <c r="AS195" s="212">
        <f t="shared" si="317"/>
        <v>3000</v>
      </c>
      <c r="AT195" s="212">
        <f t="shared" si="318"/>
        <v>3195</v>
      </c>
      <c r="AU195" s="212">
        <f t="shared" si="319"/>
        <v>3195</v>
      </c>
      <c r="AV195" s="212">
        <f t="shared" si="320"/>
        <v>3840</v>
      </c>
      <c r="AW195" s="212">
        <v>3840</v>
      </c>
      <c r="AX195" s="212"/>
      <c r="AY195" s="212"/>
      <c r="AZ195" s="211"/>
      <c r="BA195" s="279"/>
    </row>
    <row r="196" spans="1:53" s="270" customFormat="1" ht="43.5" customHeight="1">
      <c r="A196" s="324">
        <v>4</v>
      </c>
      <c r="B196" s="500" t="s">
        <v>674</v>
      </c>
      <c r="C196" s="243" t="s">
        <v>447</v>
      </c>
      <c r="D196" s="243"/>
      <c r="E196" s="243" t="s">
        <v>813</v>
      </c>
      <c r="F196" s="243"/>
      <c r="G196" s="272"/>
      <c r="H196" s="272"/>
      <c r="I196" s="211" t="s">
        <v>466</v>
      </c>
      <c r="J196" s="212">
        <v>14000</v>
      </c>
      <c r="K196" s="212">
        <v>14000</v>
      </c>
      <c r="L196" s="212"/>
      <c r="M196" s="212"/>
      <c r="N196" s="212"/>
      <c r="O196" s="212"/>
      <c r="P196" s="212">
        <f t="shared" si="309"/>
        <v>179</v>
      </c>
      <c r="Q196" s="212">
        <f t="shared" si="309"/>
        <v>179</v>
      </c>
      <c r="R196" s="212">
        <f>S196</f>
        <v>14000</v>
      </c>
      <c r="S196" s="212">
        <v>14000</v>
      </c>
      <c r="T196" s="212"/>
      <c r="U196" s="212"/>
      <c r="V196" s="212">
        <v>179</v>
      </c>
      <c r="W196" s="212">
        <v>179</v>
      </c>
      <c r="X196" s="212">
        <v>179</v>
      </c>
      <c r="Y196" s="212"/>
      <c r="Z196" s="212"/>
      <c r="AA196" s="212"/>
      <c r="AB196" s="212"/>
      <c r="AC196" s="212"/>
      <c r="AD196" s="212"/>
      <c r="AE196" s="212"/>
      <c r="AF196" s="212"/>
      <c r="AG196" s="212">
        <f t="shared" si="321"/>
        <v>179</v>
      </c>
      <c r="AH196" s="212">
        <f t="shared" si="321"/>
        <v>179</v>
      </c>
      <c r="AI196" s="212"/>
      <c r="AJ196" s="212"/>
      <c r="AK196" s="212">
        <f t="shared" si="315"/>
        <v>4666.666666666667</v>
      </c>
      <c r="AL196" s="212">
        <f t="shared" si="316"/>
        <v>4666.666666666667</v>
      </c>
      <c r="AM196" s="212">
        <f t="shared" si="322"/>
        <v>0</v>
      </c>
      <c r="AN196" s="212">
        <f t="shared" si="322"/>
        <v>0</v>
      </c>
      <c r="AO196" s="212">
        <f t="shared" si="310"/>
        <v>2500</v>
      </c>
      <c r="AP196" s="212">
        <v>2500</v>
      </c>
      <c r="AQ196" s="212"/>
      <c r="AR196" s="212"/>
      <c r="AS196" s="212">
        <f t="shared" si="317"/>
        <v>2679</v>
      </c>
      <c r="AT196" s="212">
        <f t="shared" si="318"/>
        <v>2679</v>
      </c>
      <c r="AU196" s="212">
        <f t="shared" si="319"/>
        <v>2679</v>
      </c>
      <c r="AV196" s="212">
        <f t="shared" si="320"/>
        <v>5000</v>
      </c>
      <c r="AW196" s="212">
        <v>5000</v>
      </c>
      <c r="AX196" s="212"/>
      <c r="AY196" s="212"/>
      <c r="AZ196" s="211"/>
      <c r="BA196" s="279"/>
    </row>
    <row r="197" spans="1:53" s="262" customFormat="1" ht="38.1" customHeight="1">
      <c r="A197" s="324">
        <v>5</v>
      </c>
      <c r="B197" s="289" t="s">
        <v>468</v>
      </c>
      <c r="C197" s="243" t="s">
        <v>447</v>
      </c>
      <c r="D197" s="243"/>
      <c r="E197" s="319" t="s">
        <v>819</v>
      </c>
      <c r="F197" s="243"/>
      <c r="G197" s="243" t="s">
        <v>311</v>
      </c>
      <c r="H197" s="243" t="s">
        <v>791</v>
      </c>
      <c r="I197" s="211" t="s">
        <v>792</v>
      </c>
      <c r="J197" s="212">
        <f>K197</f>
        <v>14990</v>
      </c>
      <c r="K197" s="212">
        <v>14990</v>
      </c>
      <c r="L197" s="212"/>
      <c r="M197" s="212"/>
      <c r="N197" s="212"/>
      <c r="O197" s="212"/>
      <c r="P197" s="212">
        <f t="shared" si="309"/>
        <v>0</v>
      </c>
      <c r="Q197" s="212">
        <f t="shared" si="309"/>
        <v>0</v>
      </c>
      <c r="R197" s="212">
        <f>S197</f>
        <v>14990</v>
      </c>
      <c r="S197" s="212">
        <v>14990</v>
      </c>
      <c r="T197" s="212"/>
      <c r="U197" s="212"/>
      <c r="V197" s="212"/>
      <c r="W197" s="212"/>
      <c r="X197" s="212"/>
      <c r="Y197" s="212"/>
      <c r="Z197" s="212"/>
      <c r="AA197" s="212">
        <v>213</v>
      </c>
      <c r="AB197" s="212">
        <v>213</v>
      </c>
      <c r="AC197" s="212"/>
      <c r="AD197" s="212"/>
      <c r="AE197" s="212"/>
      <c r="AF197" s="212"/>
      <c r="AG197" s="212">
        <f t="shared" si="321"/>
        <v>213</v>
      </c>
      <c r="AH197" s="212">
        <f t="shared" si="321"/>
        <v>213</v>
      </c>
      <c r="AI197" s="212"/>
      <c r="AJ197" s="212"/>
      <c r="AK197" s="212">
        <f>AL197</f>
        <v>3138</v>
      </c>
      <c r="AL197" s="212">
        <f>AO197</f>
        <v>3138</v>
      </c>
      <c r="AM197" s="212">
        <f t="shared" si="322"/>
        <v>0</v>
      </c>
      <c r="AN197" s="212">
        <f t="shared" si="322"/>
        <v>0</v>
      </c>
      <c r="AO197" s="212">
        <f t="shared" si="310"/>
        <v>3138</v>
      </c>
      <c r="AP197" s="212">
        <v>3138</v>
      </c>
      <c r="AQ197" s="212"/>
      <c r="AR197" s="212"/>
      <c r="AS197" s="212">
        <f t="shared" si="317"/>
        <v>3138</v>
      </c>
      <c r="AT197" s="212">
        <f t="shared" si="318"/>
        <v>3351</v>
      </c>
      <c r="AU197" s="212">
        <f t="shared" si="319"/>
        <v>3351</v>
      </c>
      <c r="AV197" s="212">
        <f t="shared" si="320"/>
        <v>5700</v>
      </c>
      <c r="AW197" s="212">
        <v>5700</v>
      </c>
      <c r="AX197" s="212"/>
      <c r="AY197" s="212"/>
      <c r="AZ197" s="211"/>
      <c r="BA197" s="201">
        <f>AW197</f>
        <v>5700</v>
      </c>
    </row>
    <row r="198" spans="1:53" s="262" customFormat="1" ht="35.1" customHeight="1">
      <c r="A198" s="324">
        <v>6</v>
      </c>
      <c r="B198" s="496" t="s">
        <v>467</v>
      </c>
      <c r="C198" s="243" t="s">
        <v>447</v>
      </c>
      <c r="D198" s="243"/>
      <c r="E198" s="319" t="s">
        <v>819</v>
      </c>
      <c r="F198" s="243"/>
      <c r="G198" s="243"/>
      <c r="H198" s="243" t="s">
        <v>791</v>
      </c>
      <c r="I198" s="211" t="s">
        <v>790</v>
      </c>
      <c r="J198" s="212">
        <f>K198</f>
        <v>6200</v>
      </c>
      <c r="K198" s="212">
        <v>6200</v>
      </c>
      <c r="L198" s="212"/>
      <c r="M198" s="212"/>
      <c r="N198" s="212"/>
      <c r="O198" s="212"/>
      <c r="P198" s="212">
        <f t="shared" si="309"/>
        <v>0</v>
      </c>
      <c r="Q198" s="212">
        <f t="shared" si="309"/>
        <v>0</v>
      </c>
      <c r="R198" s="212">
        <v>6200</v>
      </c>
      <c r="S198" s="212">
        <v>6200</v>
      </c>
      <c r="T198" s="212"/>
      <c r="U198" s="212"/>
      <c r="V198" s="212"/>
      <c r="W198" s="212"/>
      <c r="X198" s="212"/>
      <c r="Y198" s="212"/>
      <c r="Z198" s="212"/>
      <c r="AA198" s="212">
        <v>93</v>
      </c>
      <c r="AB198" s="212">
        <v>93</v>
      </c>
      <c r="AC198" s="212"/>
      <c r="AD198" s="212"/>
      <c r="AE198" s="212"/>
      <c r="AF198" s="212"/>
      <c r="AG198" s="212">
        <f t="shared" si="321"/>
        <v>93</v>
      </c>
      <c r="AH198" s="212">
        <f t="shared" si="321"/>
        <v>93</v>
      </c>
      <c r="AI198" s="212"/>
      <c r="AJ198" s="212"/>
      <c r="AK198" s="212">
        <f t="shared" si="315"/>
        <v>2066.6666666666665</v>
      </c>
      <c r="AL198" s="212">
        <f t="shared" si="316"/>
        <v>2066.6666666666665</v>
      </c>
      <c r="AM198" s="212">
        <f t="shared" si="322"/>
        <v>0</v>
      </c>
      <c r="AN198" s="212">
        <f t="shared" si="322"/>
        <v>0</v>
      </c>
      <c r="AO198" s="212">
        <f t="shared" si="310"/>
        <v>2000</v>
      </c>
      <c r="AP198" s="212">
        <v>2000</v>
      </c>
      <c r="AQ198" s="212"/>
      <c r="AR198" s="212"/>
      <c r="AS198" s="212">
        <f t="shared" si="317"/>
        <v>2000</v>
      </c>
      <c r="AT198" s="212">
        <f t="shared" si="318"/>
        <v>2093</v>
      </c>
      <c r="AU198" s="212">
        <f t="shared" si="319"/>
        <v>2093</v>
      </c>
      <c r="AV198" s="212">
        <f t="shared" si="320"/>
        <v>2500</v>
      </c>
      <c r="AW198" s="212">
        <v>2500</v>
      </c>
      <c r="AX198" s="212"/>
      <c r="AY198" s="212"/>
      <c r="AZ198" s="211"/>
      <c r="BA198" s="201"/>
    </row>
    <row r="199" spans="1:53" s="262" customFormat="1" ht="35.1" customHeight="1">
      <c r="A199" s="237" t="s">
        <v>279</v>
      </c>
      <c r="B199" s="234" t="s">
        <v>898</v>
      </c>
      <c r="C199" s="243"/>
      <c r="D199" s="243"/>
      <c r="E199" s="319"/>
      <c r="F199" s="243"/>
      <c r="G199" s="243"/>
      <c r="H199" s="243"/>
      <c r="I199" s="211"/>
      <c r="J199" s="215">
        <f>+J200</f>
        <v>6000</v>
      </c>
      <c r="K199" s="215">
        <f t="shared" ref="K199:AW199" si="323">+K200</f>
        <v>6000</v>
      </c>
      <c r="L199" s="215">
        <f t="shared" si="323"/>
        <v>0</v>
      </c>
      <c r="M199" s="215">
        <f t="shared" si="323"/>
        <v>0</v>
      </c>
      <c r="N199" s="215">
        <f t="shared" si="323"/>
        <v>0</v>
      </c>
      <c r="O199" s="215">
        <f t="shared" si="323"/>
        <v>0</v>
      </c>
      <c r="P199" s="215">
        <f t="shared" si="323"/>
        <v>0</v>
      </c>
      <c r="Q199" s="215">
        <f t="shared" si="323"/>
        <v>0</v>
      </c>
      <c r="R199" s="215">
        <f t="shared" si="323"/>
        <v>3000</v>
      </c>
      <c r="S199" s="215">
        <f t="shared" si="323"/>
        <v>3000</v>
      </c>
      <c r="T199" s="215">
        <f t="shared" si="323"/>
        <v>0</v>
      </c>
      <c r="U199" s="215">
        <f t="shared" si="323"/>
        <v>0</v>
      </c>
      <c r="V199" s="215">
        <f t="shared" si="323"/>
        <v>0</v>
      </c>
      <c r="W199" s="215">
        <f t="shared" si="323"/>
        <v>0</v>
      </c>
      <c r="X199" s="215">
        <f t="shared" si="323"/>
        <v>0</v>
      </c>
      <c r="Y199" s="215">
        <f t="shared" si="323"/>
        <v>0</v>
      </c>
      <c r="Z199" s="215">
        <f t="shared" si="323"/>
        <v>0</v>
      </c>
      <c r="AA199" s="215">
        <f t="shared" si="323"/>
        <v>0</v>
      </c>
      <c r="AB199" s="215">
        <f t="shared" si="323"/>
        <v>0</v>
      </c>
      <c r="AC199" s="215">
        <f t="shared" si="323"/>
        <v>0</v>
      </c>
      <c r="AD199" s="215">
        <f t="shared" si="323"/>
        <v>0</v>
      </c>
      <c r="AE199" s="215">
        <f t="shared" si="323"/>
        <v>0</v>
      </c>
      <c r="AF199" s="215">
        <f t="shared" si="323"/>
        <v>0</v>
      </c>
      <c r="AG199" s="215">
        <f t="shared" si="323"/>
        <v>0</v>
      </c>
      <c r="AH199" s="215">
        <f t="shared" si="323"/>
        <v>0</v>
      </c>
      <c r="AI199" s="215">
        <f t="shared" si="323"/>
        <v>0</v>
      </c>
      <c r="AJ199" s="215">
        <f t="shared" si="323"/>
        <v>0</v>
      </c>
      <c r="AK199" s="215">
        <f t="shared" si="323"/>
        <v>1000</v>
      </c>
      <c r="AL199" s="215">
        <f t="shared" si="323"/>
        <v>1000</v>
      </c>
      <c r="AM199" s="215">
        <f t="shared" si="323"/>
        <v>0</v>
      </c>
      <c r="AN199" s="215">
        <f t="shared" si="323"/>
        <v>0</v>
      </c>
      <c r="AO199" s="215">
        <f t="shared" si="323"/>
        <v>0</v>
      </c>
      <c r="AP199" s="215">
        <f t="shared" si="323"/>
        <v>0</v>
      </c>
      <c r="AQ199" s="215">
        <f t="shared" si="323"/>
        <v>0</v>
      </c>
      <c r="AR199" s="215">
        <f t="shared" si="323"/>
        <v>0</v>
      </c>
      <c r="AS199" s="215">
        <f t="shared" si="323"/>
        <v>50</v>
      </c>
      <c r="AT199" s="215">
        <f t="shared" si="323"/>
        <v>50</v>
      </c>
      <c r="AU199" s="215">
        <f t="shared" si="323"/>
        <v>50</v>
      </c>
      <c r="AV199" s="215">
        <f t="shared" si="323"/>
        <v>1500</v>
      </c>
      <c r="AW199" s="215">
        <f t="shared" si="323"/>
        <v>1500</v>
      </c>
      <c r="AX199" s="212"/>
      <c r="AY199" s="212"/>
      <c r="AZ199" s="211"/>
      <c r="BA199" s="201"/>
    </row>
    <row r="200" spans="1:53" s="262" customFormat="1" ht="37.5" customHeight="1">
      <c r="A200" s="324">
        <v>1</v>
      </c>
      <c r="B200" s="289" t="s">
        <v>469</v>
      </c>
      <c r="C200" s="243" t="s">
        <v>447</v>
      </c>
      <c r="D200" s="243"/>
      <c r="E200" s="319" t="s">
        <v>1023</v>
      </c>
      <c r="F200" s="243"/>
      <c r="G200" s="617" t="s">
        <v>1021</v>
      </c>
      <c r="H200" s="617" t="s">
        <v>367</v>
      </c>
      <c r="I200" s="617" t="s">
        <v>1022</v>
      </c>
      <c r="J200" s="618">
        <f>K200</f>
        <v>6000</v>
      </c>
      <c r="K200" s="618">
        <v>6000</v>
      </c>
      <c r="L200" s="212"/>
      <c r="M200" s="212"/>
      <c r="N200" s="212"/>
      <c r="O200" s="212"/>
      <c r="P200" s="212"/>
      <c r="Q200" s="212"/>
      <c r="R200" s="212">
        <v>3000</v>
      </c>
      <c r="S200" s="212">
        <v>3000</v>
      </c>
      <c r="T200" s="212"/>
      <c r="U200" s="212"/>
      <c r="V200" s="212"/>
      <c r="W200" s="212"/>
      <c r="X200" s="212"/>
      <c r="Y200" s="212"/>
      <c r="Z200" s="212"/>
      <c r="AA200" s="212"/>
      <c r="AB200" s="212"/>
      <c r="AC200" s="212"/>
      <c r="AD200" s="212"/>
      <c r="AE200" s="212"/>
      <c r="AF200" s="212"/>
      <c r="AG200" s="212"/>
      <c r="AH200" s="212"/>
      <c r="AI200" s="212"/>
      <c r="AJ200" s="212"/>
      <c r="AK200" s="212">
        <f t="shared" si="315"/>
        <v>1000</v>
      </c>
      <c r="AL200" s="212">
        <f t="shared" si="316"/>
        <v>1000</v>
      </c>
      <c r="AM200" s="212"/>
      <c r="AN200" s="212"/>
      <c r="AO200" s="212"/>
      <c r="AP200" s="212"/>
      <c r="AQ200" s="212"/>
      <c r="AR200" s="212"/>
      <c r="AS200" s="212">
        <v>50</v>
      </c>
      <c r="AT200" s="212">
        <f>+AU200</f>
        <v>50</v>
      </c>
      <c r="AU200" s="212">
        <v>50</v>
      </c>
      <c r="AV200" s="212">
        <f>+AW200</f>
        <v>1500</v>
      </c>
      <c r="AW200" s="212">
        <v>1500</v>
      </c>
      <c r="AX200" s="212"/>
      <c r="AY200" s="212"/>
      <c r="AZ200" s="211" t="s">
        <v>907</v>
      </c>
      <c r="BA200" s="201">
        <f>AW200</f>
        <v>1500</v>
      </c>
    </row>
    <row r="201" spans="1:53" s="251" customFormat="1" ht="28.5" customHeight="1">
      <c r="A201" s="649"/>
      <c r="B201" s="289"/>
      <c r="C201" s="260"/>
      <c r="D201" s="260"/>
      <c r="E201" s="260"/>
      <c r="F201" s="260"/>
      <c r="G201" s="229"/>
      <c r="H201" s="229"/>
      <c r="I201" s="231"/>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5"/>
      <c r="AH201" s="215"/>
      <c r="AI201" s="215"/>
      <c r="AJ201" s="215"/>
      <c r="AK201" s="215"/>
      <c r="AL201" s="215"/>
      <c r="AM201" s="215"/>
      <c r="AN201" s="215"/>
      <c r="AO201" s="212"/>
      <c r="AP201" s="212"/>
      <c r="AQ201" s="212"/>
      <c r="AR201" s="212"/>
      <c r="AS201" s="212"/>
      <c r="AT201" s="212"/>
      <c r="AU201" s="212"/>
      <c r="AV201" s="212"/>
      <c r="AW201" s="212"/>
      <c r="AX201" s="212"/>
      <c r="AY201" s="212"/>
      <c r="AZ201" s="243"/>
      <c r="BA201" s="232"/>
    </row>
    <row r="202" spans="1:53" s="232" customFormat="1" ht="28.5" customHeight="1">
      <c r="A202" s="275"/>
      <c r="B202" s="228" t="s">
        <v>327</v>
      </c>
      <c r="C202" s="229"/>
      <c r="D202" s="229"/>
      <c r="E202" s="229"/>
      <c r="F202" s="229"/>
      <c r="G202" s="229"/>
      <c r="H202" s="229"/>
      <c r="I202" s="231"/>
      <c r="J202" s="215"/>
      <c r="K202" s="215"/>
      <c r="L202" s="215"/>
      <c r="M202" s="215"/>
      <c r="N202" s="215"/>
      <c r="O202" s="215"/>
      <c r="P202" s="212"/>
      <c r="Q202" s="212"/>
      <c r="R202" s="215"/>
      <c r="S202" s="215"/>
      <c r="T202" s="215"/>
      <c r="U202" s="215"/>
      <c r="V202" s="215"/>
      <c r="W202" s="215"/>
      <c r="X202" s="215"/>
      <c r="Y202" s="215"/>
      <c r="Z202" s="215"/>
      <c r="AA202" s="215"/>
      <c r="AB202" s="215">
        <v>26816</v>
      </c>
      <c r="AC202" s="215"/>
      <c r="AD202" s="215"/>
      <c r="AE202" s="215"/>
      <c r="AF202" s="215"/>
      <c r="AG202" s="215"/>
      <c r="AH202" s="215"/>
      <c r="AI202" s="215"/>
      <c r="AJ202" s="215"/>
      <c r="AK202" s="215"/>
      <c r="AL202" s="215"/>
      <c r="AM202" s="215"/>
      <c r="AN202" s="215"/>
      <c r="AO202" s="215"/>
      <c r="AP202" s="215">
        <v>28115.131023861421</v>
      </c>
      <c r="AQ202" s="215"/>
      <c r="AR202" s="215"/>
      <c r="AS202" s="215"/>
      <c r="AT202" s="215"/>
      <c r="AU202" s="215"/>
      <c r="AV202" s="215"/>
      <c r="AW202" s="215">
        <v>33237</v>
      </c>
      <c r="AX202" s="215"/>
      <c r="AY202" s="215"/>
      <c r="AZ202" s="650"/>
    </row>
    <row r="203" spans="1:53" s="251" customFormat="1" ht="30.95" customHeight="1">
      <c r="A203" s="252" t="s">
        <v>185</v>
      </c>
      <c r="B203" s="253" t="s">
        <v>470</v>
      </c>
      <c r="C203" s="229"/>
      <c r="D203" s="229"/>
      <c r="E203" s="229"/>
      <c r="F203" s="229"/>
      <c r="G203" s="235"/>
      <c r="H203" s="229"/>
      <c r="I203" s="231"/>
      <c r="J203" s="215">
        <f>J204+J209+J216+J219+J226</f>
        <v>519646</v>
      </c>
      <c r="K203" s="215">
        <f t="shared" ref="K203:AW203" si="324">K204+K209+K216+K219+K226</f>
        <v>167506</v>
      </c>
      <c r="L203" s="215">
        <f t="shared" si="324"/>
        <v>0</v>
      </c>
      <c r="M203" s="215">
        <f t="shared" si="324"/>
        <v>0</v>
      </c>
      <c r="N203" s="215">
        <f t="shared" si="324"/>
        <v>0</v>
      </c>
      <c r="O203" s="215">
        <f t="shared" si="324"/>
        <v>0</v>
      </c>
      <c r="P203" s="215">
        <f t="shared" si="324"/>
        <v>767</v>
      </c>
      <c r="Q203" s="215">
        <f t="shared" si="324"/>
        <v>767</v>
      </c>
      <c r="R203" s="215">
        <f t="shared" si="324"/>
        <v>139310</v>
      </c>
      <c r="S203" s="215">
        <f t="shared" si="324"/>
        <v>139310</v>
      </c>
      <c r="T203" s="215">
        <f t="shared" si="324"/>
        <v>0</v>
      </c>
      <c r="U203" s="215">
        <f t="shared" si="324"/>
        <v>0</v>
      </c>
      <c r="V203" s="215">
        <f t="shared" si="324"/>
        <v>321135</v>
      </c>
      <c r="W203" s="215">
        <f t="shared" si="324"/>
        <v>767</v>
      </c>
      <c r="X203" s="215">
        <f t="shared" si="324"/>
        <v>767</v>
      </c>
      <c r="Y203" s="215">
        <f t="shared" si="324"/>
        <v>0</v>
      </c>
      <c r="Z203" s="215">
        <f t="shared" si="324"/>
        <v>0</v>
      </c>
      <c r="AA203" s="215">
        <f t="shared" si="324"/>
        <v>19505</v>
      </c>
      <c r="AB203" s="215">
        <f t="shared" si="324"/>
        <v>19505</v>
      </c>
      <c r="AC203" s="215">
        <f t="shared" si="324"/>
        <v>0</v>
      </c>
      <c r="AD203" s="215">
        <f t="shared" si="324"/>
        <v>0</v>
      </c>
      <c r="AE203" s="215">
        <f t="shared" si="324"/>
        <v>0</v>
      </c>
      <c r="AF203" s="215">
        <f t="shared" si="324"/>
        <v>2774.2359999999999</v>
      </c>
      <c r="AG203" s="215">
        <f t="shared" si="324"/>
        <v>22272</v>
      </c>
      <c r="AH203" s="215">
        <f t="shared" si="324"/>
        <v>22272</v>
      </c>
      <c r="AI203" s="215">
        <f t="shared" si="324"/>
        <v>0</v>
      </c>
      <c r="AJ203" s="215">
        <f t="shared" si="324"/>
        <v>0</v>
      </c>
      <c r="AK203" s="215">
        <f t="shared" si="324"/>
        <v>18815</v>
      </c>
      <c r="AL203" s="215">
        <f t="shared" si="324"/>
        <v>18815</v>
      </c>
      <c r="AM203" s="215">
        <f t="shared" si="324"/>
        <v>0</v>
      </c>
      <c r="AN203" s="215">
        <f t="shared" si="324"/>
        <v>0</v>
      </c>
      <c r="AO203" s="215">
        <f t="shared" si="324"/>
        <v>20815</v>
      </c>
      <c r="AP203" s="215">
        <f t="shared" si="324"/>
        <v>20815</v>
      </c>
      <c r="AQ203" s="215">
        <f t="shared" si="324"/>
        <v>0</v>
      </c>
      <c r="AR203" s="215">
        <f t="shared" si="324"/>
        <v>0</v>
      </c>
      <c r="AS203" s="215">
        <f t="shared" si="324"/>
        <v>341950</v>
      </c>
      <c r="AT203" s="215">
        <f t="shared" si="324"/>
        <v>43087</v>
      </c>
      <c r="AU203" s="215">
        <f t="shared" si="324"/>
        <v>43087</v>
      </c>
      <c r="AV203" s="215">
        <f t="shared" si="324"/>
        <v>33237</v>
      </c>
      <c r="AW203" s="215">
        <f t="shared" si="324"/>
        <v>33237</v>
      </c>
      <c r="AX203" s="215"/>
      <c r="AY203" s="215"/>
      <c r="AZ203" s="265"/>
      <c r="BA203" s="232"/>
    </row>
    <row r="204" spans="1:53" s="251" customFormat="1" ht="36" customHeight="1">
      <c r="A204" s="227" t="s">
        <v>33</v>
      </c>
      <c r="B204" s="234" t="s">
        <v>1029</v>
      </c>
      <c r="C204" s="229"/>
      <c r="D204" s="229"/>
      <c r="E204" s="229"/>
      <c r="F204" s="229"/>
      <c r="G204" s="229"/>
      <c r="H204" s="229"/>
      <c r="I204" s="231"/>
      <c r="J204" s="215">
        <f>J205</f>
        <v>372546</v>
      </c>
      <c r="K204" s="215">
        <f t="shared" ref="K204:AW204" si="325">K205</f>
        <v>20406</v>
      </c>
      <c r="L204" s="215">
        <f t="shared" si="325"/>
        <v>0</v>
      </c>
      <c r="M204" s="215">
        <f t="shared" si="325"/>
        <v>0</v>
      </c>
      <c r="N204" s="215">
        <f t="shared" si="325"/>
        <v>0</v>
      </c>
      <c r="O204" s="215">
        <f t="shared" si="325"/>
        <v>0</v>
      </c>
      <c r="P204" s="215">
        <f t="shared" si="325"/>
        <v>0</v>
      </c>
      <c r="Q204" s="215">
        <f t="shared" si="325"/>
        <v>0</v>
      </c>
      <c r="R204" s="215">
        <f t="shared" si="325"/>
        <v>9500</v>
      </c>
      <c r="S204" s="215">
        <f t="shared" si="325"/>
        <v>9500</v>
      </c>
      <c r="T204" s="215">
        <f t="shared" si="325"/>
        <v>0</v>
      </c>
      <c r="U204" s="215">
        <f t="shared" si="325"/>
        <v>0</v>
      </c>
      <c r="V204" s="215">
        <f t="shared" si="325"/>
        <v>301720</v>
      </c>
      <c r="W204" s="215">
        <f t="shared" si="325"/>
        <v>0</v>
      </c>
      <c r="X204" s="215">
        <f t="shared" si="325"/>
        <v>0</v>
      </c>
      <c r="Y204" s="215">
        <f t="shared" si="325"/>
        <v>0</v>
      </c>
      <c r="Z204" s="215">
        <f t="shared" si="325"/>
        <v>0</v>
      </c>
      <c r="AA204" s="215">
        <f t="shared" si="325"/>
        <v>0</v>
      </c>
      <c r="AB204" s="215">
        <f t="shared" si="325"/>
        <v>0</v>
      </c>
      <c r="AC204" s="215">
        <f t="shared" si="325"/>
        <v>0</v>
      </c>
      <c r="AD204" s="215">
        <f t="shared" si="325"/>
        <v>0</v>
      </c>
      <c r="AE204" s="215">
        <f t="shared" si="325"/>
        <v>0</v>
      </c>
      <c r="AF204" s="215">
        <f t="shared" si="325"/>
        <v>0</v>
      </c>
      <c r="AG204" s="215">
        <f t="shared" si="325"/>
        <v>2000</v>
      </c>
      <c r="AH204" s="215">
        <f t="shared" si="325"/>
        <v>2000</v>
      </c>
      <c r="AI204" s="215"/>
      <c r="AJ204" s="215"/>
      <c r="AK204" s="215">
        <f t="shared" si="325"/>
        <v>0</v>
      </c>
      <c r="AL204" s="215">
        <f t="shared" si="325"/>
        <v>0</v>
      </c>
      <c r="AM204" s="215">
        <f t="shared" si="325"/>
        <v>0</v>
      </c>
      <c r="AN204" s="215">
        <f t="shared" si="325"/>
        <v>0</v>
      </c>
      <c r="AO204" s="215">
        <f t="shared" si="325"/>
        <v>2000</v>
      </c>
      <c r="AP204" s="215">
        <f t="shared" si="325"/>
        <v>2000</v>
      </c>
      <c r="AQ204" s="215">
        <f t="shared" si="325"/>
        <v>0</v>
      </c>
      <c r="AR204" s="215">
        <f t="shared" si="325"/>
        <v>0</v>
      </c>
      <c r="AS204" s="215">
        <f t="shared" si="325"/>
        <v>303720</v>
      </c>
      <c r="AT204" s="215">
        <f t="shared" si="325"/>
        <v>4000</v>
      </c>
      <c r="AU204" s="215">
        <f t="shared" si="325"/>
        <v>4000</v>
      </c>
      <c r="AV204" s="215">
        <f t="shared" si="325"/>
        <v>1000</v>
      </c>
      <c r="AW204" s="215">
        <f t="shared" si="325"/>
        <v>1000</v>
      </c>
      <c r="AX204" s="215"/>
      <c r="AY204" s="215"/>
      <c r="AZ204" s="265"/>
      <c r="BA204" s="232"/>
    </row>
    <row r="205" spans="1:53" s="251" customFormat="1" ht="36" customHeight="1">
      <c r="A205" s="275" t="s">
        <v>35</v>
      </c>
      <c r="B205" s="236" t="s">
        <v>43</v>
      </c>
      <c r="C205" s="229"/>
      <c r="D205" s="229"/>
      <c r="E205" s="229"/>
      <c r="F205" s="229"/>
      <c r="G205" s="229"/>
      <c r="H205" s="229"/>
      <c r="I205" s="231"/>
      <c r="J205" s="215">
        <f>J207</f>
        <v>372546</v>
      </c>
      <c r="K205" s="215">
        <f t="shared" ref="K205:AW205" si="326">K207</f>
        <v>20406</v>
      </c>
      <c r="L205" s="215">
        <f t="shared" si="326"/>
        <v>0</v>
      </c>
      <c r="M205" s="215">
        <f t="shared" si="326"/>
        <v>0</v>
      </c>
      <c r="N205" s="215">
        <f t="shared" si="326"/>
        <v>0</v>
      </c>
      <c r="O205" s="215">
        <f t="shared" si="326"/>
        <v>0</v>
      </c>
      <c r="P205" s="215">
        <f t="shared" si="326"/>
        <v>0</v>
      </c>
      <c r="Q205" s="215">
        <f t="shared" si="326"/>
        <v>0</v>
      </c>
      <c r="R205" s="215">
        <f t="shared" si="326"/>
        <v>9500</v>
      </c>
      <c r="S205" s="215">
        <f t="shared" si="326"/>
        <v>9500</v>
      </c>
      <c r="T205" s="215">
        <f t="shared" si="326"/>
        <v>0</v>
      </c>
      <c r="U205" s="215">
        <f t="shared" si="326"/>
        <v>0</v>
      </c>
      <c r="V205" s="215">
        <f t="shared" si="326"/>
        <v>301720</v>
      </c>
      <c r="W205" s="215">
        <f t="shared" si="326"/>
        <v>0</v>
      </c>
      <c r="X205" s="215">
        <f t="shared" si="326"/>
        <v>0</v>
      </c>
      <c r="Y205" s="215">
        <f t="shared" si="326"/>
        <v>0</v>
      </c>
      <c r="Z205" s="215">
        <f t="shared" si="326"/>
        <v>0</v>
      </c>
      <c r="AA205" s="215">
        <f t="shared" si="326"/>
        <v>0</v>
      </c>
      <c r="AB205" s="215">
        <f t="shared" si="326"/>
        <v>0</v>
      </c>
      <c r="AC205" s="215">
        <f t="shared" si="326"/>
        <v>0</v>
      </c>
      <c r="AD205" s="215">
        <f t="shared" si="326"/>
        <v>0</v>
      </c>
      <c r="AE205" s="215">
        <f t="shared" si="326"/>
        <v>0</v>
      </c>
      <c r="AF205" s="215">
        <f t="shared" si="326"/>
        <v>0</v>
      </c>
      <c r="AG205" s="215">
        <f t="shared" si="326"/>
        <v>2000</v>
      </c>
      <c r="AH205" s="215">
        <f t="shared" si="326"/>
        <v>2000</v>
      </c>
      <c r="AI205" s="215">
        <f t="shared" si="326"/>
        <v>0</v>
      </c>
      <c r="AJ205" s="215">
        <f t="shared" si="326"/>
        <v>0</v>
      </c>
      <c r="AK205" s="215">
        <f t="shared" si="326"/>
        <v>0</v>
      </c>
      <c r="AL205" s="215">
        <f t="shared" si="326"/>
        <v>0</v>
      </c>
      <c r="AM205" s="215">
        <f t="shared" si="326"/>
        <v>0</v>
      </c>
      <c r="AN205" s="215">
        <f t="shared" si="326"/>
        <v>0</v>
      </c>
      <c r="AO205" s="215">
        <f t="shared" si="326"/>
        <v>2000</v>
      </c>
      <c r="AP205" s="215">
        <f t="shared" si="326"/>
        <v>2000</v>
      </c>
      <c r="AQ205" s="215">
        <f t="shared" si="326"/>
        <v>0</v>
      </c>
      <c r="AR205" s="215">
        <f t="shared" si="326"/>
        <v>0</v>
      </c>
      <c r="AS205" s="215">
        <f t="shared" si="326"/>
        <v>303720</v>
      </c>
      <c r="AT205" s="215">
        <f t="shared" si="326"/>
        <v>4000</v>
      </c>
      <c r="AU205" s="215">
        <f t="shared" si="326"/>
        <v>4000</v>
      </c>
      <c r="AV205" s="215">
        <f t="shared" si="326"/>
        <v>1000</v>
      </c>
      <c r="AW205" s="215">
        <f t="shared" si="326"/>
        <v>1000</v>
      </c>
      <c r="AX205" s="215"/>
      <c r="AY205" s="215"/>
      <c r="AZ205" s="265"/>
      <c r="BA205" s="232"/>
    </row>
    <row r="206" spans="1:53" s="262" customFormat="1" ht="45" hidden="1" customHeight="1">
      <c r="A206" s="649">
        <v>1</v>
      </c>
      <c r="B206" s="290" t="s">
        <v>472</v>
      </c>
      <c r="C206" s="243" t="s">
        <v>471</v>
      </c>
      <c r="D206" s="243"/>
      <c r="E206" s="319" t="s">
        <v>820</v>
      </c>
      <c r="F206" s="243"/>
      <c r="G206" s="243"/>
      <c r="H206" s="243"/>
      <c r="I206" s="248" t="s">
        <v>473</v>
      </c>
      <c r="J206" s="212">
        <v>104700</v>
      </c>
      <c r="K206" s="212">
        <v>28682</v>
      </c>
      <c r="L206" s="212">
        <v>78018.456000000006</v>
      </c>
      <c r="M206" s="212">
        <v>2000</v>
      </c>
      <c r="N206" s="212">
        <v>78018.456000000006</v>
      </c>
      <c r="O206" s="212">
        <v>2000</v>
      </c>
      <c r="P206" s="212">
        <f>L206+W206</f>
        <v>89446.456000000006</v>
      </c>
      <c r="Q206" s="212">
        <f>M206+X206</f>
        <v>13428</v>
      </c>
      <c r="R206" s="212">
        <f>S206</f>
        <v>21805</v>
      </c>
      <c r="S206" s="212">
        <v>21805</v>
      </c>
      <c r="T206" s="212">
        <v>0</v>
      </c>
      <c r="U206" s="212">
        <v>6521</v>
      </c>
      <c r="V206" s="212">
        <f>78018+11428+3000</f>
        <v>92446</v>
      </c>
      <c r="W206" s="212">
        <f>12428-1000</f>
        <v>11428</v>
      </c>
      <c r="X206" s="212">
        <f>W206</f>
        <v>11428</v>
      </c>
      <c r="Y206" s="212"/>
      <c r="Z206" s="212">
        <v>6521</v>
      </c>
      <c r="AA206" s="212">
        <v>3000</v>
      </c>
      <c r="AB206" s="212">
        <v>3000</v>
      </c>
      <c r="AC206" s="212"/>
      <c r="AD206" s="212"/>
      <c r="AE206" s="566">
        <v>3000</v>
      </c>
      <c r="AF206" s="566">
        <v>3000</v>
      </c>
      <c r="AG206" s="212">
        <f t="shared" ref="AG206:AG236" si="327">W206+AA206</f>
        <v>14428</v>
      </c>
      <c r="AH206" s="212">
        <f t="shared" ref="AH206:AH231" si="328">X206+AB206</f>
        <v>14428</v>
      </c>
      <c r="AI206" s="212"/>
      <c r="AJ206" s="212"/>
      <c r="AK206" s="212">
        <f t="shared" ref="AK206:AK256" si="329">AO206</f>
        <v>3000</v>
      </c>
      <c r="AL206" s="212">
        <f t="shared" ref="AL206:AL256" si="330">AP206</f>
        <v>3000</v>
      </c>
      <c r="AM206" s="212">
        <f t="shared" ref="AM206:AM256" si="331">AQ206</f>
        <v>0</v>
      </c>
      <c r="AN206" s="212">
        <f t="shared" ref="AN206:AN256" si="332">AR206</f>
        <v>0</v>
      </c>
      <c r="AO206" s="212">
        <f>AP206</f>
        <v>3000</v>
      </c>
      <c r="AP206" s="212">
        <v>3000</v>
      </c>
      <c r="AQ206" s="212"/>
      <c r="AR206" s="212"/>
      <c r="AS206" s="212">
        <f t="shared" ref="AS206" si="333">V206+AP206</f>
        <v>95446</v>
      </c>
      <c r="AT206" s="212">
        <f t="shared" ref="AT206" si="334">AU206</f>
        <v>17428</v>
      </c>
      <c r="AU206" s="212">
        <f t="shared" ref="AU206" si="335">AH206+AP206</f>
        <v>17428</v>
      </c>
      <c r="AV206" s="212">
        <f t="shared" ref="AV206" si="336">AW206</f>
        <v>0</v>
      </c>
      <c r="AW206" s="212"/>
      <c r="AX206" s="212"/>
      <c r="AY206" s="212"/>
      <c r="AZ206" s="261"/>
      <c r="BA206" s="201"/>
    </row>
    <row r="207" spans="1:53" ht="56.45" customHeight="1">
      <c r="A207" s="528" t="s">
        <v>37</v>
      </c>
      <c r="B207" s="529" t="s">
        <v>804</v>
      </c>
      <c r="C207" s="303" t="s">
        <v>311</v>
      </c>
      <c r="D207" s="303"/>
      <c r="E207" s="303" t="s">
        <v>821</v>
      </c>
      <c r="F207" s="303"/>
      <c r="G207" s="303"/>
      <c r="H207" s="303"/>
      <c r="I207" s="530" t="s">
        <v>805</v>
      </c>
      <c r="J207" s="336">
        <v>372546</v>
      </c>
      <c r="K207" s="336">
        <v>20406</v>
      </c>
      <c r="L207" s="354"/>
      <c r="M207" s="354"/>
      <c r="N207" s="354"/>
      <c r="O207" s="354"/>
      <c r="P207" s="212"/>
      <c r="Q207" s="212"/>
      <c r="R207" s="354">
        <f>S207</f>
        <v>9500</v>
      </c>
      <c r="S207" s="354">
        <v>9500</v>
      </c>
      <c r="T207" s="354"/>
      <c r="U207" s="354"/>
      <c r="V207" s="212">
        <f>299720+2000</f>
        <v>301720</v>
      </c>
      <c r="W207" s="212"/>
      <c r="X207" s="212"/>
      <c r="Y207" s="212"/>
      <c r="Z207" s="212"/>
      <c r="AA207" s="212"/>
      <c r="AB207" s="212"/>
      <c r="AC207" s="212"/>
      <c r="AD207" s="212"/>
      <c r="AE207" s="212"/>
      <c r="AF207" s="212"/>
      <c r="AG207" s="212">
        <f>AH207</f>
        <v>2000</v>
      </c>
      <c r="AH207" s="212">
        <v>2000</v>
      </c>
      <c r="AI207" s="212"/>
      <c r="AJ207" s="212"/>
      <c r="AK207" s="212"/>
      <c r="AL207" s="212"/>
      <c r="AM207" s="212"/>
      <c r="AN207" s="212"/>
      <c r="AO207" s="212">
        <f>AP207</f>
        <v>2000</v>
      </c>
      <c r="AP207" s="212">
        <v>2000</v>
      </c>
      <c r="AQ207" s="212"/>
      <c r="AR207" s="212"/>
      <c r="AS207" s="212">
        <f t="shared" ref="AS207:AS208" si="337">V207+AP207</f>
        <v>303720</v>
      </c>
      <c r="AT207" s="212">
        <f t="shared" ref="AT207:AT208" si="338">AU207</f>
        <v>4000</v>
      </c>
      <c r="AU207" s="212">
        <f t="shared" ref="AU207:AU208" si="339">AH207+AP207</f>
        <v>4000</v>
      </c>
      <c r="AV207" s="212">
        <f t="shared" ref="AV207:AV208" si="340">AW207</f>
        <v>1000</v>
      </c>
      <c r="AW207" s="212">
        <v>1000</v>
      </c>
      <c r="AX207" s="212"/>
      <c r="AY207" s="212"/>
      <c r="AZ207" s="261"/>
    </row>
    <row r="208" spans="1:53" s="270" customFormat="1" ht="38.450000000000003" hidden="1" customHeight="1">
      <c r="A208" s="649">
        <v>2</v>
      </c>
      <c r="B208" s="267" t="s">
        <v>647</v>
      </c>
      <c r="C208" s="243" t="s">
        <v>471</v>
      </c>
      <c r="D208" s="243"/>
      <c r="E208" s="319" t="s">
        <v>820</v>
      </c>
      <c r="F208" s="243"/>
      <c r="G208" s="272"/>
      <c r="H208" s="243" t="s">
        <v>567</v>
      </c>
      <c r="I208" s="248" t="s">
        <v>474</v>
      </c>
      <c r="J208" s="273">
        <v>7800</v>
      </c>
      <c r="K208" s="273">
        <v>7800</v>
      </c>
      <c r="L208" s="212"/>
      <c r="M208" s="212"/>
      <c r="N208" s="212"/>
      <c r="O208" s="212"/>
      <c r="P208" s="212">
        <f t="shared" ref="P208" si="341">L208+W208</f>
        <v>104</v>
      </c>
      <c r="Q208" s="212">
        <f t="shared" ref="Q208" si="342">M208+X208</f>
        <v>104</v>
      </c>
      <c r="R208" s="212">
        <f>S208</f>
        <v>7800</v>
      </c>
      <c r="S208" s="212">
        <v>7800</v>
      </c>
      <c r="T208" s="212"/>
      <c r="U208" s="212"/>
      <c r="V208" s="212">
        <v>2500</v>
      </c>
      <c r="W208" s="212">
        <v>104</v>
      </c>
      <c r="X208" s="212">
        <v>104</v>
      </c>
      <c r="Y208" s="212"/>
      <c r="Z208" s="212"/>
      <c r="AA208" s="212">
        <v>2500</v>
      </c>
      <c r="AB208" s="212">
        <v>2500</v>
      </c>
      <c r="AC208" s="212"/>
      <c r="AD208" s="212"/>
      <c r="AE208" s="566">
        <v>298.786</v>
      </c>
      <c r="AF208" s="566">
        <v>2335.944</v>
      </c>
      <c r="AG208" s="212">
        <f>W208+AA208+382.721</f>
        <v>2986.721</v>
      </c>
      <c r="AH208" s="212">
        <f>X208+AB208+382.721</f>
        <v>2986.721</v>
      </c>
      <c r="AI208" s="212"/>
      <c r="AJ208" s="212"/>
      <c r="AK208" s="212">
        <f t="shared" ref="AK208" si="343">AO208</f>
        <v>4300</v>
      </c>
      <c r="AL208" s="212">
        <f t="shared" ref="AL208" si="344">AP208</f>
        <v>4300</v>
      </c>
      <c r="AM208" s="212">
        <f t="shared" ref="AM208" si="345">AQ208</f>
        <v>0</v>
      </c>
      <c r="AN208" s="212">
        <f t="shared" ref="AN208" si="346">AR208</f>
        <v>0</v>
      </c>
      <c r="AO208" s="212">
        <f t="shared" ref="AO208" si="347">AP208</f>
        <v>4300</v>
      </c>
      <c r="AP208" s="212">
        <v>4300</v>
      </c>
      <c r="AQ208" s="212"/>
      <c r="AR208" s="212"/>
      <c r="AS208" s="212">
        <f t="shared" si="337"/>
        <v>6800</v>
      </c>
      <c r="AT208" s="212">
        <f t="shared" si="338"/>
        <v>7286.7209999999995</v>
      </c>
      <c r="AU208" s="212">
        <f t="shared" si="339"/>
        <v>7286.7209999999995</v>
      </c>
      <c r="AV208" s="212">
        <f t="shared" si="340"/>
        <v>0</v>
      </c>
      <c r="AW208" s="212"/>
      <c r="AX208" s="212"/>
      <c r="AY208" s="212"/>
      <c r="AZ208" s="243"/>
      <c r="BA208" s="279"/>
    </row>
    <row r="209" spans="1:53" s="251" customFormat="1" ht="39" customHeight="1">
      <c r="A209" s="227" t="s">
        <v>46</v>
      </c>
      <c r="B209" s="234" t="s">
        <v>899</v>
      </c>
      <c r="C209" s="229"/>
      <c r="D209" s="229"/>
      <c r="E209" s="229"/>
      <c r="F209" s="229"/>
      <c r="G209" s="229"/>
      <c r="H209" s="229"/>
      <c r="I209" s="231"/>
      <c r="J209" s="215">
        <f>J210</f>
        <v>62800</v>
      </c>
      <c r="K209" s="215">
        <f t="shared" ref="K209:AW209" si="348">K210</f>
        <v>62800</v>
      </c>
      <c r="L209" s="215">
        <f t="shared" si="348"/>
        <v>0</v>
      </c>
      <c r="M209" s="215">
        <f t="shared" si="348"/>
        <v>0</v>
      </c>
      <c r="N209" s="215">
        <f t="shared" si="348"/>
        <v>0</v>
      </c>
      <c r="O209" s="215">
        <f t="shared" si="348"/>
        <v>0</v>
      </c>
      <c r="P209" s="215">
        <f t="shared" si="348"/>
        <v>767</v>
      </c>
      <c r="Q209" s="215">
        <f t="shared" si="348"/>
        <v>767</v>
      </c>
      <c r="R209" s="215">
        <f t="shared" si="348"/>
        <v>58015</v>
      </c>
      <c r="S209" s="215">
        <f t="shared" si="348"/>
        <v>58015</v>
      </c>
      <c r="T209" s="215">
        <f t="shared" si="348"/>
        <v>0</v>
      </c>
      <c r="U209" s="215">
        <f t="shared" si="348"/>
        <v>0</v>
      </c>
      <c r="V209" s="215">
        <f t="shared" si="348"/>
        <v>19415</v>
      </c>
      <c r="W209" s="215">
        <f t="shared" si="348"/>
        <v>767</v>
      </c>
      <c r="X209" s="215">
        <f t="shared" si="348"/>
        <v>767</v>
      </c>
      <c r="Y209" s="215">
        <f t="shared" si="348"/>
        <v>0</v>
      </c>
      <c r="Z209" s="215">
        <f t="shared" si="348"/>
        <v>0</v>
      </c>
      <c r="AA209" s="215">
        <f t="shared" si="348"/>
        <v>19415</v>
      </c>
      <c r="AB209" s="215">
        <f t="shared" si="348"/>
        <v>19415</v>
      </c>
      <c r="AC209" s="215">
        <f t="shared" si="348"/>
        <v>0</v>
      </c>
      <c r="AD209" s="215">
        <f t="shared" si="348"/>
        <v>0</v>
      </c>
      <c r="AE209" s="215">
        <f t="shared" si="348"/>
        <v>0</v>
      </c>
      <c r="AF209" s="215">
        <f t="shared" si="348"/>
        <v>2774.2359999999999</v>
      </c>
      <c r="AG209" s="215">
        <f t="shared" si="348"/>
        <v>20182</v>
      </c>
      <c r="AH209" s="215">
        <f t="shared" si="348"/>
        <v>20182</v>
      </c>
      <c r="AI209" s="215"/>
      <c r="AJ209" s="215"/>
      <c r="AK209" s="215">
        <f t="shared" si="348"/>
        <v>16165</v>
      </c>
      <c r="AL209" s="215">
        <f t="shared" si="348"/>
        <v>16165</v>
      </c>
      <c r="AM209" s="215">
        <f t="shared" si="348"/>
        <v>0</v>
      </c>
      <c r="AN209" s="215">
        <f t="shared" si="348"/>
        <v>0</v>
      </c>
      <c r="AO209" s="215">
        <f t="shared" si="348"/>
        <v>16165</v>
      </c>
      <c r="AP209" s="215">
        <f t="shared" si="348"/>
        <v>16165</v>
      </c>
      <c r="AQ209" s="215">
        <f t="shared" si="348"/>
        <v>0</v>
      </c>
      <c r="AR209" s="215">
        <f t="shared" si="348"/>
        <v>0</v>
      </c>
      <c r="AS209" s="215">
        <f t="shared" si="348"/>
        <v>35580</v>
      </c>
      <c r="AT209" s="215">
        <f t="shared" si="348"/>
        <v>36347</v>
      </c>
      <c r="AU209" s="215">
        <f t="shared" si="348"/>
        <v>36347</v>
      </c>
      <c r="AV209" s="215">
        <f t="shared" si="348"/>
        <v>20007</v>
      </c>
      <c r="AW209" s="215">
        <f t="shared" si="348"/>
        <v>20007</v>
      </c>
      <c r="AX209" s="215"/>
      <c r="AY209" s="215"/>
      <c r="AZ209" s="229"/>
      <c r="BA209" s="232"/>
    </row>
    <row r="210" spans="1:53" s="251" customFormat="1" ht="30" customHeight="1">
      <c r="A210" s="227" t="s">
        <v>35</v>
      </c>
      <c r="B210" s="234" t="s">
        <v>45</v>
      </c>
      <c r="C210" s="229"/>
      <c r="D210" s="229"/>
      <c r="E210" s="229"/>
      <c r="F210" s="229"/>
      <c r="G210" s="229"/>
      <c r="H210" s="229"/>
      <c r="I210" s="231"/>
      <c r="J210" s="215">
        <f t="shared" ref="J210:AH210" si="349">SUM(J211:J215)</f>
        <v>62800</v>
      </c>
      <c r="K210" s="215">
        <f t="shared" si="349"/>
        <v>62800</v>
      </c>
      <c r="L210" s="215">
        <f t="shared" si="349"/>
        <v>0</v>
      </c>
      <c r="M210" s="215">
        <f t="shared" si="349"/>
        <v>0</v>
      </c>
      <c r="N210" s="215">
        <f t="shared" si="349"/>
        <v>0</v>
      </c>
      <c r="O210" s="215">
        <f t="shared" si="349"/>
        <v>0</v>
      </c>
      <c r="P210" s="215">
        <f t="shared" si="349"/>
        <v>767</v>
      </c>
      <c r="Q210" s="215">
        <f t="shared" si="349"/>
        <v>767</v>
      </c>
      <c r="R210" s="215">
        <f t="shared" si="349"/>
        <v>58015</v>
      </c>
      <c r="S210" s="215">
        <f t="shared" si="349"/>
        <v>58015</v>
      </c>
      <c r="T210" s="215">
        <f t="shared" si="349"/>
        <v>0</v>
      </c>
      <c r="U210" s="215">
        <f t="shared" si="349"/>
        <v>0</v>
      </c>
      <c r="V210" s="215">
        <f t="shared" si="349"/>
        <v>19415</v>
      </c>
      <c r="W210" s="215">
        <f t="shared" si="349"/>
        <v>767</v>
      </c>
      <c r="X210" s="215">
        <f t="shared" si="349"/>
        <v>767</v>
      </c>
      <c r="Y210" s="215">
        <f t="shared" si="349"/>
        <v>0</v>
      </c>
      <c r="Z210" s="215">
        <f t="shared" si="349"/>
        <v>0</v>
      </c>
      <c r="AA210" s="215">
        <f t="shared" si="349"/>
        <v>19415</v>
      </c>
      <c r="AB210" s="215">
        <f t="shared" si="349"/>
        <v>19415</v>
      </c>
      <c r="AC210" s="215">
        <f t="shared" si="349"/>
        <v>0</v>
      </c>
      <c r="AD210" s="215">
        <f t="shared" si="349"/>
        <v>0</v>
      </c>
      <c r="AE210" s="215">
        <f t="shared" si="349"/>
        <v>0</v>
      </c>
      <c r="AF210" s="215">
        <f t="shared" si="349"/>
        <v>2774.2359999999999</v>
      </c>
      <c r="AG210" s="215">
        <f t="shared" si="349"/>
        <v>20182</v>
      </c>
      <c r="AH210" s="215">
        <f t="shared" si="349"/>
        <v>20182</v>
      </c>
      <c r="AI210" s="215"/>
      <c r="AJ210" s="215"/>
      <c r="AK210" s="215">
        <f t="shared" ref="AK210:AW210" si="350">SUM(AK211:AK215)</f>
        <v>16165</v>
      </c>
      <c r="AL210" s="215">
        <f t="shared" si="350"/>
        <v>16165</v>
      </c>
      <c r="AM210" s="215">
        <f t="shared" si="350"/>
        <v>0</v>
      </c>
      <c r="AN210" s="215">
        <f t="shared" si="350"/>
        <v>0</v>
      </c>
      <c r="AO210" s="215">
        <f t="shared" si="350"/>
        <v>16165</v>
      </c>
      <c r="AP210" s="215">
        <f t="shared" si="350"/>
        <v>16165</v>
      </c>
      <c r="AQ210" s="215">
        <f t="shared" si="350"/>
        <v>0</v>
      </c>
      <c r="AR210" s="215">
        <f t="shared" si="350"/>
        <v>0</v>
      </c>
      <c r="AS210" s="215">
        <f t="shared" si="350"/>
        <v>35580</v>
      </c>
      <c r="AT210" s="215">
        <f t="shared" si="350"/>
        <v>36347</v>
      </c>
      <c r="AU210" s="215">
        <f t="shared" si="350"/>
        <v>36347</v>
      </c>
      <c r="AV210" s="215">
        <f t="shared" si="350"/>
        <v>20007</v>
      </c>
      <c r="AW210" s="215">
        <f t="shared" si="350"/>
        <v>20007</v>
      </c>
      <c r="AX210" s="215"/>
      <c r="AY210" s="215"/>
      <c r="AZ210" s="229"/>
      <c r="BA210" s="232"/>
    </row>
    <row r="211" spans="1:53" s="270" customFormat="1" ht="40.5" customHeight="1">
      <c r="A211" s="649">
        <v>2</v>
      </c>
      <c r="B211" s="267" t="s">
        <v>475</v>
      </c>
      <c r="C211" s="243" t="s">
        <v>471</v>
      </c>
      <c r="D211" s="243"/>
      <c r="E211" s="319" t="s">
        <v>820</v>
      </c>
      <c r="F211" s="243"/>
      <c r="G211" s="272"/>
      <c r="H211" s="243" t="s">
        <v>784</v>
      </c>
      <c r="I211" s="211" t="s">
        <v>476</v>
      </c>
      <c r="J211" s="212">
        <v>21000</v>
      </c>
      <c r="K211" s="212">
        <v>21000</v>
      </c>
      <c r="L211" s="212"/>
      <c r="M211" s="212"/>
      <c r="N211" s="212"/>
      <c r="O211" s="212"/>
      <c r="P211" s="212">
        <f t="shared" ref="P211:Q215" si="351">L211+W211</f>
        <v>208</v>
      </c>
      <c r="Q211" s="212">
        <f t="shared" si="351"/>
        <v>208</v>
      </c>
      <c r="R211" s="212">
        <v>18900</v>
      </c>
      <c r="S211" s="212">
        <v>18900</v>
      </c>
      <c r="T211" s="212"/>
      <c r="U211" s="212"/>
      <c r="V211" s="212">
        <v>6300</v>
      </c>
      <c r="W211" s="212">
        <v>208</v>
      </c>
      <c r="X211" s="212">
        <v>208</v>
      </c>
      <c r="Y211" s="212"/>
      <c r="Z211" s="212"/>
      <c r="AA211" s="212">
        <v>6300</v>
      </c>
      <c r="AB211" s="212">
        <v>6300</v>
      </c>
      <c r="AC211" s="212"/>
      <c r="AD211" s="212"/>
      <c r="AE211" s="212"/>
      <c r="AF211" s="212"/>
      <c r="AG211" s="212">
        <f t="shared" si="327"/>
        <v>6508</v>
      </c>
      <c r="AH211" s="212">
        <f t="shared" si="328"/>
        <v>6508</v>
      </c>
      <c r="AI211" s="212"/>
      <c r="AJ211" s="212"/>
      <c r="AK211" s="212">
        <f t="shared" ref="AK211" si="352">AO211</f>
        <v>4600</v>
      </c>
      <c r="AL211" s="212">
        <f t="shared" ref="AL211" si="353">AP211</f>
        <v>4600</v>
      </c>
      <c r="AM211" s="212">
        <f t="shared" si="331"/>
        <v>0</v>
      </c>
      <c r="AN211" s="212">
        <f t="shared" si="332"/>
        <v>0</v>
      </c>
      <c r="AO211" s="212">
        <f t="shared" ref="AO211:AO215" si="354">AP211</f>
        <v>4600</v>
      </c>
      <c r="AP211" s="212">
        <v>4600</v>
      </c>
      <c r="AQ211" s="212"/>
      <c r="AR211" s="212"/>
      <c r="AS211" s="212">
        <f t="shared" ref="AS211:AS215" si="355">V211+AP211</f>
        <v>10900</v>
      </c>
      <c r="AT211" s="212">
        <f t="shared" ref="AT211:AT215" si="356">AU211</f>
        <v>11108</v>
      </c>
      <c r="AU211" s="212">
        <f t="shared" ref="AU211:AU215" si="357">AH211+AP211</f>
        <v>11108</v>
      </c>
      <c r="AV211" s="212">
        <f t="shared" ref="AV211:AV215" si="358">AW211</f>
        <v>7090</v>
      </c>
      <c r="AW211" s="212">
        <v>7090</v>
      </c>
      <c r="AX211" s="212"/>
      <c r="AY211" s="212"/>
      <c r="AZ211" s="243"/>
      <c r="BA211" s="279"/>
    </row>
    <row r="212" spans="1:53" s="270" customFormat="1" ht="38.25" customHeight="1">
      <c r="A212" s="209">
        <v>3</v>
      </c>
      <c r="B212" s="496" t="s">
        <v>477</v>
      </c>
      <c r="C212" s="243" t="s">
        <v>471</v>
      </c>
      <c r="D212" s="243"/>
      <c r="E212" s="319" t="s">
        <v>820</v>
      </c>
      <c r="F212" s="243"/>
      <c r="G212" s="272"/>
      <c r="H212" s="243" t="s">
        <v>784</v>
      </c>
      <c r="I212" s="211" t="s">
        <v>478</v>
      </c>
      <c r="J212" s="212">
        <v>20000</v>
      </c>
      <c r="K212" s="212">
        <v>20000</v>
      </c>
      <c r="L212" s="212"/>
      <c r="M212" s="212"/>
      <c r="N212" s="212"/>
      <c r="O212" s="212"/>
      <c r="P212" s="212">
        <f t="shared" si="351"/>
        <v>247</v>
      </c>
      <c r="Q212" s="212">
        <f t="shared" si="351"/>
        <v>247</v>
      </c>
      <c r="R212" s="212">
        <v>18000</v>
      </c>
      <c r="S212" s="212">
        <v>18000</v>
      </c>
      <c r="T212" s="212" t="s">
        <v>311</v>
      </c>
      <c r="U212" s="212"/>
      <c r="V212" s="212">
        <v>6000</v>
      </c>
      <c r="W212" s="212">
        <v>247</v>
      </c>
      <c r="X212" s="212">
        <v>247</v>
      </c>
      <c r="Y212" s="212"/>
      <c r="Z212" s="212"/>
      <c r="AA212" s="212">
        <v>6000</v>
      </c>
      <c r="AB212" s="212">
        <v>6000</v>
      </c>
      <c r="AC212" s="212"/>
      <c r="AD212" s="212"/>
      <c r="AE212" s="212"/>
      <c r="AF212" s="212"/>
      <c r="AG212" s="212">
        <f t="shared" si="327"/>
        <v>6247</v>
      </c>
      <c r="AH212" s="212">
        <f t="shared" si="328"/>
        <v>6247</v>
      </c>
      <c r="AI212" s="212"/>
      <c r="AJ212" s="212"/>
      <c r="AK212" s="212">
        <f t="shared" si="329"/>
        <v>4000</v>
      </c>
      <c r="AL212" s="212">
        <f t="shared" si="330"/>
        <v>4000</v>
      </c>
      <c r="AM212" s="212">
        <f t="shared" si="331"/>
        <v>0</v>
      </c>
      <c r="AN212" s="212">
        <f t="shared" si="332"/>
        <v>0</v>
      </c>
      <c r="AO212" s="212">
        <f t="shared" si="354"/>
        <v>4000</v>
      </c>
      <c r="AP212" s="212">
        <v>4000</v>
      </c>
      <c r="AQ212" s="212"/>
      <c r="AR212" s="212"/>
      <c r="AS212" s="212">
        <f t="shared" si="355"/>
        <v>10000</v>
      </c>
      <c r="AT212" s="212">
        <f t="shared" si="356"/>
        <v>10247</v>
      </c>
      <c r="AU212" s="212">
        <f t="shared" si="357"/>
        <v>10247</v>
      </c>
      <c r="AV212" s="212">
        <f t="shared" si="358"/>
        <v>7052</v>
      </c>
      <c r="AW212" s="212">
        <v>7052</v>
      </c>
      <c r="AX212" s="212"/>
      <c r="AY212" s="212"/>
      <c r="AZ212" s="243"/>
      <c r="BA212" s="279"/>
    </row>
    <row r="213" spans="1:53" s="270" customFormat="1" ht="42.75" customHeight="1">
      <c r="A213" s="209">
        <v>4</v>
      </c>
      <c r="B213" s="496" t="s">
        <v>479</v>
      </c>
      <c r="C213" s="243" t="s">
        <v>471</v>
      </c>
      <c r="D213" s="243"/>
      <c r="E213" s="319" t="s">
        <v>820</v>
      </c>
      <c r="F213" s="243"/>
      <c r="G213" s="243" t="s">
        <v>1018</v>
      </c>
      <c r="H213" s="243" t="s">
        <v>567</v>
      </c>
      <c r="I213" s="211" t="s">
        <v>480</v>
      </c>
      <c r="J213" s="212">
        <f>+K213</f>
        <v>6300</v>
      </c>
      <c r="K213" s="212">
        <v>6300</v>
      </c>
      <c r="L213" s="212"/>
      <c r="M213" s="212"/>
      <c r="N213" s="212"/>
      <c r="O213" s="212"/>
      <c r="P213" s="212">
        <f t="shared" si="351"/>
        <v>65</v>
      </c>
      <c r="Q213" s="212">
        <f t="shared" si="351"/>
        <v>65</v>
      </c>
      <c r="R213" s="212">
        <f>S213</f>
        <v>5615</v>
      </c>
      <c r="S213" s="212">
        <v>5615</v>
      </c>
      <c r="T213" s="212"/>
      <c r="U213" s="212"/>
      <c r="V213" s="212">
        <v>1500</v>
      </c>
      <c r="W213" s="212">
        <v>65</v>
      </c>
      <c r="X213" s="212">
        <v>65</v>
      </c>
      <c r="Y213" s="212"/>
      <c r="Z213" s="212"/>
      <c r="AA213" s="212">
        <v>1500</v>
      </c>
      <c r="AB213" s="212">
        <v>1500</v>
      </c>
      <c r="AC213" s="212"/>
      <c r="AD213" s="212"/>
      <c r="AE213" s="212"/>
      <c r="AF213" s="212"/>
      <c r="AG213" s="212">
        <f t="shared" si="327"/>
        <v>1565</v>
      </c>
      <c r="AH213" s="212">
        <f t="shared" si="328"/>
        <v>1565</v>
      </c>
      <c r="AI213" s="212"/>
      <c r="AJ213" s="212"/>
      <c r="AK213" s="212">
        <f t="shared" ref="AK213" si="359">AO213</f>
        <v>1400</v>
      </c>
      <c r="AL213" s="212">
        <f t="shared" ref="AL213" si="360">AP213</f>
        <v>1400</v>
      </c>
      <c r="AM213" s="212">
        <f t="shared" si="331"/>
        <v>0</v>
      </c>
      <c r="AN213" s="212">
        <f t="shared" si="332"/>
        <v>0</v>
      </c>
      <c r="AO213" s="212">
        <f t="shared" si="354"/>
        <v>1400</v>
      </c>
      <c r="AP213" s="212">
        <v>1400</v>
      </c>
      <c r="AQ213" s="212"/>
      <c r="AR213" s="212"/>
      <c r="AS213" s="212">
        <f t="shared" si="355"/>
        <v>2900</v>
      </c>
      <c r="AT213" s="212">
        <f t="shared" si="356"/>
        <v>2965</v>
      </c>
      <c r="AU213" s="212">
        <f t="shared" si="357"/>
        <v>2965</v>
      </c>
      <c r="AV213" s="212">
        <f t="shared" si="358"/>
        <v>2650</v>
      </c>
      <c r="AW213" s="212">
        <f>S213-AU213</f>
        <v>2650</v>
      </c>
      <c r="AX213" s="212"/>
      <c r="AY213" s="212"/>
      <c r="AZ213" s="243"/>
      <c r="BA213" s="279">
        <f>AW213</f>
        <v>2650</v>
      </c>
    </row>
    <row r="214" spans="1:53" s="270" customFormat="1" ht="35.25" customHeight="1">
      <c r="A214" s="649">
        <v>5</v>
      </c>
      <c r="B214" s="267" t="s">
        <v>481</v>
      </c>
      <c r="C214" s="243" t="s">
        <v>471</v>
      </c>
      <c r="D214" s="243"/>
      <c r="E214" s="319" t="s">
        <v>820</v>
      </c>
      <c r="F214" s="243"/>
      <c r="G214" s="243" t="s">
        <v>1019</v>
      </c>
      <c r="H214" s="243" t="s">
        <v>784</v>
      </c>
      <c r="I214" s="248" t="s">
        <v>482</v>
      </c>
      <c r="J214" s="212">
        <v>11500</v>
      </c>
      <c r="K214" s="212">
        <v>11500</v>
      </c>
      <c r="L214" s="212"/>
      <c r="M214" s="212"/>
      <c r="N214" s="212"/>
      <c r="O214" s="212"/>
      <c r="P214" s="212">
        <f t="shared" si="351"/>
        <v>156</v>
      </c>
      <c r="Q214" s="212">
        <f t="shared" si="351"/>
        <v>156</v>
      </c>
      <c r="R214" s="212">
        <f>S214</f>
        <v>11500</v>
      </c>
      <c r="S214" s="212">
        <v>11500</v>
      </c>
      <c r="T214" s="212"/>
      <c r="U214" s="212"/>
      <c r="V214" s="212">
        <v>3615</v>
      </c>
      <c r="W214" s="212">
        <v>156</v>
      </c>
      <c r="X214" s="212">
        <v>156</v>
      </c>
      <c r="Y214" s="212"/>
      <c r="Z214" s="212"/>
      <c r="AA214" s="273">
        <v>3615</v>
      </c>
      <c r="AB214" s="212">
        <v>3615</v>
      </c>
      <c r="AC214" s="212"/>
      <c r="AD214" s="212"/>
      <c r="AE214" s="566">
        <v>0</v>
      </c>
      <c r="AF214" s="566">
        <v>2774.2359999999999</v>
      </c>
      <c r="AG214" s="212">
        <f t="shared" si="327"/>
        <v>3771</v>
      </c>
      <c r="AH214" s="212">
        <f t="shared" si="328"/>
        <v>3771</v>
      </c>
      <c r="AI214" s="212"/>
      <c r="AJ214" s="212"/>
      <c r="AK214" s="212">
        <f t="shared" si="329"/>
        <v>4865</v>
      </c>
      <c r="AL214" s="212">
        <f t="shared" si="330"/>
        <v>4865</v>
      </c>
      <c r="AM214" s="212">
        <f t="shared" si="331"/>
        <v>0</v>
      </c>
      <c r="AN214" s="212">
        <f t="shared" si="332"/>
        <v>0</v>
      </c>
      <c r="AO214" s="212">
        <f t="shared" si="354"/>
        <v>4865</v>
      </c>
      <c r="AP214" s="212">
        <v>4865</v>
      </c>
      <c r="AQ214" s="212"/>
      <c r="AR214" s="212"/>
      <c r="AS214" s="212">
        <f t="shared" si="355"/>
        <v>8480</v>
      </c>
      <c r="AT214" s="212">
        <f t="shared" si="356"/>
        <v>8636</v>
      </c>
      <c r="AU214" s="212">
        <f t="shared" si="357"/>
        <v>8636</v>
      </c>
      <c r="AV214" s="212">
        <f t="shared" si="358"/>
        <v>2800</v>
      </c>
      <c r="AW214" s="212">
        <v>2800</v>
      </c>
      <c r="AX214" s="212"/>
      <c r="AY214" s="212"/>
      <c r="AZ214" s="243"/>
      <c r="BA214" s="279">
        <f>AW214</f>
        <v>2800</v>
      </c>
    </row>
    <row r="215" spans="1:53" s="270" customFormat="1" ht="38.25" customHeight="1">
      <c r="A215" s="209">
        <v>6</v>
      </c>
      <c r="B215" s="267" t="s">
        <v>483</v>
      </c>
      <c r="C215" s="243" t="s">
        <v>471</v>
      </c>
      <c r="D215" s="243"/>
      <c r="E215" s="319" t="s">
        <v>820</v>
      </c>
      <c r="F215" s="243"/>
      <c r="G215" s="243"/>
      <c r="H215" s="243" t="s">
        <v>567</v>
      </c>
      <c r="I215" s="211" t="s">
        <v>484</v>
      </c>
      <c r="J215" s="212">
        <f>K215</f>
        <v>4000</v>
      </c>
      <c r="K215" s="212">
        <v>4000</v>
      </c>
      <c r="L215" s="212"/>
      <c r="M215" s="212"/>
      <c r="N215" s="212"/>
      <c r="O215" s="212"/>
      <c r="P215" s="212">
        <f t="shared" si="351"/>
        <v>91</v>
      </c>
      <c r="Q215" s="212">
        <f t="shared" si="351"/>
        <v>91</v>
      </c>
      <c r="R215" s="212">
        <f>S215</f>
        <v>4000</v>
      </c>
      <c r="S215" s="212">
        <v>4000</v>
      </c>
      <c r="T215" s="212"/>
      <c r="U215" s="212"/>
      <c r="V215" s="212">
        <v>2000</v>
      </c>
      <c r="W215" s="212">
        <v>91</v>
      </c>
      <c r="X215" s="212">
        <v>91</v>
      </c>
      <c r="Y215" s="212"/>
      <c r="Z215" s="212"/>
      <c r="AA215" s="212">
        <v>2000</v>
      </c>
      <c r="AB215" s="212">
        <v>2000</v>
      </c>
      <c r="AC215" s="212"/>
      <c r="AD215" s="212"/>
      <c r="AE215" s="212"/>
      <c r="AF215" s="212"/>
      <c r="AG215" s="212">
        <f t="shared" si="327"/>
        <v>2091</v>
      </c>
      <c r="AH215" s="212">
        <f t="shared" si="328"/>
        <v>2091</v>
      </c>
      <c r="AI215" s="212"/>
      <c r="AJ215" s="212"/>
      <c r="AK215" s="212">
        <f t="shared" si="329"/>
        <v>1300</v>
      </c>
      <c r="AL215" s="212">
        <f t="shared" si="330"/>
        <v>1300</v>
      </c>
      <c r="AM215" s="212">
        <f t="shared" si="331"/>
        <v>0</v>
      </c>
      <c r="AN215" s="212">
        <f t="shared" si="332"/>
        <v>0</v>
      </c>
      <c r="AO215" s="212">
        <f t="shared" si="354"/>
        <v>1300</v>
      </c>
      <c r="AP215" s="212">
        <v>1300</v>
      </c>
      <c r="AQ215" s="212"/>
      <c r="AR215" s="212"/>
      <c r="AS215" s="212">
        <f t="shared" si="355"/>
        <v>3300</v>
      </c>
      <c r="AT215" s="212">
        <f t="shared" si="356"/>
        <v>3391</v>
      </c>
      <c r="AU215" s="212">
        <f t="shared" si="357"/>
        <v>3391</v>
      </c>
      <c r="AV215" s="212">
        <f t="shared" si="358"/>
        <v>415</v>
      </c>
      <c r="AW215" s="212">
        <v>415</v>
      </c>
      <c r="AX215" s="212"/>
      <c r="AY215" s="212"/>
      <c r="AZ215" s="243"/>
      <c r="BA215" s="279">
        <f>AW215</f>
        <v>415</v>
      </c>
    </row>
    <row r="216" spans="1:53" s="251" customFormat="1" ht="38.25" customHeight="1">
      <c r="A216" s="227" t="s">
        <v>278</v>
      </c>
      <c r="B216" s="234" t="s">
        <v>900</v>
      </c>
      <c r="C216" s="229"/>
      <c r="D216" s="229"/>
      <c r="E216" s="229"/>
      <c r="F216" s="229"/>
      <c r="G216" s="229"/>
      <c r="H216" s="229"/>
      <c r="I216" s="217"/>
      <c r="J216" s="215">
        <f>J217</f>
        <v>6900</v>
      </c>
      <c r="K216" s="215">
        <f t="shared" ref="K216:AQ217" si="361">K217</f>
        <v>6900</v>
      </c>
      <c r="L216" s="215">
        <f t="shared" si="361"/>
        <v>0</v>
      </c>
      <c r="M216" s="215">
        <f t="shared" si="361"/>
        <v>0</v>
      </c>
      <c r="N216" s="215">
        <f t="shared" si="361"/>
        <v>0</v>
      </c>
      <c r="O216" s="215">
        <f t="shared" si="361"/>
        <v>0</v>
      </c>
      <c r="P216" s="215">
        <f t="shared" si="361"/>
        <v>0</v>
      </c>
      <c r="Q216" s="215">
        <f t="shared" si="361"/>
        <v>0</v>
      </c>
      <c r="R216" s="215">
        <f t="shared" si="361"/>
        <v>6900</v>
      </c>
      <c r="S216" s="215">
        <f t="shared" si="361"/>
        <v>6900</v>
      </c>
      <c r="T216" s="215">
        <f t="shared" si="361"/>
        <v>0</v>
      </c>
      <c r="U216" s="215">
        <f t="shared" si="361"/>
        <v>0</v>
      </c>
      <c r="V216" s="215">
        <f t="shared" si="361"/>
        <v>0</v>
      </c>
      <c r="W216" s="215">
        <f t="shared" si="361"/>
        <v>0</v>
      </c>
      <c r="X216" s="215">
        <f t="shared" si="361"/>
        <v>0</v>
      </c>
      <c r="Y216" s="215">
        <f t="shared" si="361"/>
        <v>0</v>
      </c>
      <c r="Z216" s="215">
        <f t="shared" si="361"/>
        <v>0</v>
      </c>
      <c r="AA216" s="215">
        <f t="shared" si="361"/>
        <v>90</v>
      </c>
      <c r="AB216" s="215">
        <f t="shared" si="361"/>
        <v>90</v>
      </c>
      <c r="AC216" s="215">
        <f t="shared" si="361"/>
        <v>0</v>
      </c>
      <c r="AD216" s="215">
        <f t="shared" si="361"/>
        <v>0</v>
      </c>
      <c r="AE216" s="215">
        <f t="shared" si="361"/>
        <v>0</v>
      </c>
      <c r="AF216" s="215">
        <f t="shared" si="361"/>
        <v>0</v>
      </c>
      <c r="AG216" s="215">
        <f t="shared" si="361"/>
        <v>90</v>
      </c>
      <c r="AH216" s="215">
        <f t="shared" si="361"/>
        <v>90</v>
      </c>
      <c r="AI216" s="215"/>
      <c r="AJ216" s="215"/>
      <c r="AK216" s="215">
        <f t="shared" si="361"/>
        <v>2500</v>
      </c>
      <c r="AL216" s="215">
        <f t="shared" si="361"/>
        <v>2500</v>
      </c>
      <c r="AM216" s="215">
        <f t="shared" si="361"/>
        <v>0</v>
      </c>
      <c r="AN216" s="215">
        <f t="shared" si="361"/>
        <v>0</v>
      </c>
      <c r="AO216" s="215">
        <f t="shared" si="361"/>
        <v>2500</v>
      </c>
      <c r="AP216" s="215">
        <f t="shared" si="361"/>
        <v>2500</v>
      </c>
      <c r="AQ216" s="215">
        <f t="shared" si="361"/>
        <v>0</v>
      </c>
      <c r="AR216" s="215">
        <f t="shared" ref="AQ216:AW217" si="362">AR217</f>
        <v>0</v>
      </c>
      <c r="AS216" s="215">
        <f t="shared" si="362"/>
        <v>2500</v>
      </c>
      <c r="AT216" s="215">
        <f t="shared" si="362"/>
        <v>2590</v>
      </c>
      <c r="AU216" s="215">
        <f t="shared" si="362"/>
        <v>2590</v>
      </c>
      <c r="AV216" s="215">
        <f t="shared" si="362"/>
        <v>2000</v>
      </c>
      <c r="AW216" s="215">
        <f t="shared" si="362"/>
        <v>2000</v>
      </c>
      <c r="AX216" s="215"/>
      <c r="AY216" s="215"/>
      <c r="AZ216" s="229"/>
      <c r="BA216" s="232"/>
    </row>
    <row r="217" spans="1:53" s="533" customFormat="1" ht="38.25" customHeight="1">
      <c r="A217" s="501" t="s">
        <v>35</v>
      </c>
      <c r="B217" s="502" t="s">
        <v>45</v>
      </c>
      <c r="C217" s="534"/>
      <c r="D217" s="534"/>
      <c r="E217" s="534"/>
      <c r="F217" s="534"/>
      <c r="G217" s="534"/>
      <c r="H217" s="534"/>
      <c r="I217" s="550"/>
      <c r="J217" s="504">
        <f>J218</f>
        <v>6900</v>
      </c>
      <c r="K217" s="504">
        <f t="shared" si="361"/>
        <v>6900</v>
      </c>
      <c r="L217" s="504">
        <f t="shared" si="361"/>
        <v>0</v>
      </c>
      <c r="M217" s="504">
        <f t="shared" si="361"/>
        <v>0</v>
      </c>
      <c r="N217" s="504">
        <f t="shared" si="361"/>
        <v>0</v>
      </c>
      <c r="O217" s="504">
        <f t="shared" si="361"/>
        <v>0</v>
      </c>
      <c r="P217" s="504">
        <f t="shared" si="361"/>
        <v>0</v>
      </c>
      <c r="Q217" s="504">
        <f t="shared" si="361"/>
        <v>0</v>
      </c>
      <c r="R217" s="504">
        <f t="shared" si="361"/>
        <v>6900</v>
      </c>
      <c r="S217" s="504">
        <f t="shared" si="361"/>
        <v>6900</v>
      </c>
      <c r="T217" s="504">
        <f t="shared" si="361"/>
        <v>0</v>
      </c>
      <c r="U217" s="504">
        <f t="shared" si="361"/>
        <v>0</v>
      </c>
      <c r="V217" s="504">
        <f t="shared" si="361"/>
        <v>0</v>
      </c>
      <c r="W217" s="504">
        <f t="shared" si="361"/>
        <v>0</v>
      </c>
      <c r="X217" s="504">
        <f t="shared" si="361"/>
        <v>0</v>
      </c>
      <c r="Y217" s="504">
        <f t="shared" si="361"/>
        <v>0</v>
      </c>
      <c r="Z217" s="504">
        <f t="shared" si="361"/>
        <v>0</v>
      </c>
      <c r="AA217" s="504">
        <f t="shared" si="361"/>
        <v>90</v>
      </c>
      <c r="AB217" s="504">
        <f t="shared" si="361"/>
        <v>90</v>
      </c>
      <c r="AC217" s="504">
        <f t="shared" si="361"/>
        <v>0</v>
      </c>
      <c r="AD217" s="504">
        <f t="shared" si="361"/>
        <v>0</v>
      </c>
      <c r="AE217" s="504">
        <f t="shared" si="361"/>
        <v>0</v>
      </c>
      <c r="AF217" s="504">
        <f t="shared" si="361"/>
        <v>0</v>
      </c>
      <c r="AG217" s="504">
        <f t="shared" si="361"/>
        <v>90</v>
      </c>
      <c r="AH217" s="504">
        <f t="shared" si="361"/>
        <v>90</v>
      </c>
      <c r="AI217" s="504">
        <f t="shared" si="361"/>
        <v>0</v>
      </c>
      <c r="AJ217" s="504">
        <f t="shared" si="361"/>
        <v>0</v>
      </c>
      <c r="AK217" s="504">
        <f t="shared" si="361"/>
        <v>2500</v>
      </c>
      <c r="AL217" s="504">
        <f t="shared" si="361"/>
        <v>2500</v>
      </c>
      <c r="AM217" s="504">
        <f t="shared" si="361"/>
        <v>0</v>
      </c>
      <c r="AN217" s="504">
        <f t="shared" si="361"/>
        <v>0</v>
      </c>
      <c r="AO217" s="504">
        <f t="shared" si="361"/>
        <v>2500</v>
      </c>
      <c r="AP217" s="504">
        <f t="shared" si="361"/>
        <v>2500</v>
      </c>
      <c r="AQ217" s="504">
        <f t="shared" si="362"/>
        <v>0</v>
      </c>
      <c r="AR217" s="504">
        <f t="shared" si="362"/>
        <v>0</v>
      </c>
      <c r="AS217" s="277">
        <f t="shared" si="362"/>
        <v>2500</v>
      </c>
      <c r="AT217" s="277">
        <f t="shared" si="362"/>
        <v>2590</v>
      </c>
      <c r="AU217" s="277">
        <f t="shared" si="362"/>
        <v>2590</v>
      </c>
      <c r="AV217" s="277">
        <f t="shared" si="362"/>
        <v>2000</v>
      </c>
      <c r="AW217" s="277">
        <f t="shared" si="362"/>
        <v>2000</v>
      </c>
      <c r="AX217" s="277"/>
      <c r="AY217" s="277"/>
      <c r="AZ217" s="534" t="s">
        <v>311</v>
      </c>
    </row>
    <row r="218" spans="1:53" s="262" customFormat="1" ht="38.25" customHeight="1">
      <c r="A218" s="649">
        <v>1</v>
      </c>
      <c r="B218" s="267" t="s">
        <v>645</v>
      </c>
      <c r="C218" s="243" t="s">
        <v>471</v>
      </c>
      <c r="D218" s="243"/>
      <c r="E218" s="319" t="s">
        <v>820</v>
      </c>
      <c r="F218" s="243"/>
      <c r="G218" s="243" t="s">
        <v>1020</v>
      </c>
      <c r="H218" s="243" t="s">
        <v>293</v>
      </c>
      <c r="I218" s="248" t="s">
        <v>646</v>
      </c>
      <c r="J218" s="212">
        <v>6900</v>
      </c>
      <c r="K218" s="212">
        <v>6900</v>
      </c>
      <c r="L218" s="212"/>
      <c r="M218" s="212"/>
      <c r="N218" s="212"/>
      <c r="O218" s="212"/>
      <c r="P218" s="212">
        <f>L218+W218</f>
        <v>0</v>
      </c>
      <c r="Q218" s="212">
        <f>M218+X218</f>
        <v>0</v>
      </c>
      <c r="R218" s="212">
        <f>S218</f>
        <v>6900</v>
      </c>
      <c r="S218" s="212">
        <v>6900</v>
      </c>
      <c r="T218" s="212"/>
      <c r="U218" s="212"/>
      <c r="V218" s="212"/>
      <c r="W218" s="212"/>
      <c r="X218" s="212"/>
      <c r="Y218" s="212"/>
      <c r="Z218" s="212"/>
      <c r="AA218" s="212">
        <v>90</v>
      </c>
      <c r="AB218" s="212">
        <v>90</v>
      </c>
      <c r="AC218" s="212"/>
      <c r="AD218" s="212"/>
      <c r="AE218" s="212"/>
      <c r="AF218" s="212"/>
      <c r="AG218" s="212">
        <f t="shared" ref="AG218:AH218" si="363">W218+AA218</f>
        <v>90</v>
      </c>
      <c r="AH218" s="212">
        <f t="shared" si="363"/>
        <v>90</v>
      </c>
      <c r="AI218" s="212"/>
      <c r="AJ218" s="212"/>
      <c r="AK218" s="212">
        <f t="shared" ref="AK218:AN218" si="364">AO218</f>
        <v>2500</v>
      </c>
      <c r="AL218" s="212">
        <f t="shared" si="364"/>
        <v>2500</v>
      </c>
      <c r="AM218" s="212">
        <f t="shared" si="364"/>
        <v>0</v>
      </c>
      <c r="AN218" s="212">
        <f t="shared" si="364"/>
        <v>0</v>
      </c>
      <c r="AO218" s="212">
        <f>AP218</f>
        <v>2500</v>
      </c>
      <c r="AP218" s="212">
        <v>2500</v>
      </c>
      <c r="AQ218" s="212"/>
      <c r="AR218" s="212"/>
      <c r="AS218" s="212">
        <f t="shared" ref="AS218" si="365">V218+AP218</f>
        <v>2500</v>
      </c>
      <c r="AT218" s="212">
        <f t="shared" ref="AT218" si="366">AU218</f>
        <v>2590</v>
      </c>
      <c r="AU218" s="212">
        <f t="shared" ref="AU218" si="367">AH218+AP218</f>
        <v>2590</v>
      </c>
      <c r="AV218" s="212">
        <f t="shared" ref="AV218" si="368">AW218</f>
        <v>2000</v>
      </c>
      <c r="AW218" s="212">
        <v>2000</v>
      </c>
      <c r="AX218" s="212"/>
      <c r="AY218" s="212"/>
      <c r="AZ218" s="243"/>
      <c r="BA218" s="201">
        <f>AW218</f>
        <v>2000</v>
      </c>
    </row>
    <row r="219" spans="1:53" s="251" customFormat="1" ht="33.75" customHeight="1">
      <c r="A219" s="237" t="s">
        <v>279</v>
      </c>
      <c r="B219" s="234" t="s">
        <v>898</v>
      </c>
      <c r="C219" s="327"/>
      <c r="D219" s="327"/>
      <c r="E219" s="327"/>
      <c r="F219" s="327"/>
      <c r="G219" s="327"/>
      <c r="H219" s="327"/>
      <c r="I219" s="231"/>
      <c r="J219" s="242">
        <f>J220</f>
        <v>41400</v>
      </c>
      <c r="K219" s="242">
        <f t="shared" ref="K219:AW219" si="369">K220</f>
        <v>41400</v>
      </c>
      <c r="L219" s="242">
        <f t="shared" si="369"/>
        <v>0</v>
      </c>
      <c r="M219" s="242">
        <f t="shared" si="369"/>
        <v>0</v>
      </c>
      <c r="N219" s="242">
        <f t="shared" si="369"/>
        <v>0</v>
      </c>
      <c r="O219" s="242">
        <f t="shared" si="369"/>
        <v>0</v>
      </c>
      <c r="P219" s="242">
        <f t="shared" si="369"/>
        <v>0</v>
      </c>
      <c r="Q219" s="242">
        <f t="shared" si="369"/>
        <v>0</v>
      </c>
      <c r="R219" s="242">
        <f t="shared" si="369"/>
        <v>39400</v>
      </c>
      <c r="S219" s="242">
        <f t="shared" si="369"/>
        <v>39400</v>
      </c>
      <c r="T219" s="242">
        <f t="shared" si="369"/>
        <v>0</v>
      </c>
      <c r="U219" s="242">
        <f t="shared" si="369"/>
        <v>0</v>
      </c>
      <c r="V219" s="242"/>
      <c r="W219" s="242">
        <f t="shared" si="369"/>
        <v>0</v>
      </c>
      <c r="X219" s="242">
        <f t="shared" si="369"/>
        <v>0</v>
      </c>
      <c r="Y219" s="242">
        <f t="shared" si="369"/>
        <v>0</v>
      </c>
      <c r="Z219" s="242">
        <f t="shared" si="369"/>
        <v>0</v>
      </c>
      <c r="AA219" s="242">
        <f t="shared" si="369"/>
        <v>0</v>
      </c>
      <c r="AB219" s="242">
        <f t="shared" si="369"/>
        <v>0</v>
      </c>
      <c r="AC219" s="242">
        <f t="shared" si="369"/>
        <v>0</v>
      </c>
      <c r="AD219" s="242">
        <f t="shared" si="369"/>
        <v>0</v>
      </c>
      <c r="AE219" s="242">
        <f t="shared" si="369"/>
        <v>0</v>
      </c>
      <c r="AF219" s="242">
        <f t="shared" si="369"/>
        <v>0</v>
      </c>
      <c r="AG219" s="242">
        <f t="shared" si="369"/>
        <v>0</v>
      </c>
      <c r="AH219" s="242">
        <f t="shared" si="369"/>
        <v>0</v>
      </c>
      <c r="AI219" s="242"/>
      <c r="AJ219" s="242"/>
      <c r="AK219" s="242">
        <f t="shared" si="369"/>
        <v>150</v>
      </c>
      <c r="AL219" s="242">
        <f t="shared" si="369"/>
        <v>150</v>
      </c>
      <c r="AM219" s="242">
        <f t="shared" si="369"/>
        <v>0</v>
      </c>
      <c r="AN219" s="242">
        <f t="shared" si="369"/>
        <v>0</v>
      </c>
      <c r="AO219" s="242">
        <f t="shared" si="369"/>
        <v>150</v>
      </c>
      <c r="AP219" s="242">
        <f t="shared" si="369"/>
        <v>150</v>
      </c>
      <c r="AQ219" s="242">
        <f t="shared" si="369"/>
        <v>0</v>
      </c>
      <c r="AR219" s="242">
        <f t="shared" si="369"/>
        <v>0</v>
      </c>
      <c r="AS219" s="242">
        <f t="shared" si="369"/>
        <v>150</v>
      </c>
      <c r="AT219" s="242">
        <f t="shared" si="369"/>
        <v>150</v>
      </c>
      <c r="AU219" s="242">
        <f t="shared" si="369"/>
        <v>150</v>
      </c>
      <c r="AV219" s="242">
        <f t="shared" si="369"/>
        <v>10150</v>
      </c>
      <c r="AW219" s="242">
        <f t="shared" si="369"/>
        <v>10150</v>
      </c>
      <c r="AX219" s="242"/>
      <c r="AY219" s="242"/>
      <c r="AZ219" s="229"/>
      <c r="BA219" s="232"/>
    </row>
    <row r="220" spans="1:53" s="251" customFormat="1" ht="33.75" customHeight="1">
      <c r="A220" s="275" t="s">
        <v>35</v>
      </c>
      <c r="B220" s="236" t="s">
        <v>45</v>
      </c>
      <c r="C220" s="327"/>
      <c r="D220" s="327"/>
      <c r="E220" s="327"/>
      <c r="F220" s="327"/>
      <c r="G220" s="327"/>
      <c r="H220" s="327"/>
      <c r="I220" s="231"/>
      <c r="J220" s="242">
        <f>+SUM(J221:J225)</f>
        <v>41400</v>
      </c>
      <c r="K220" s="242">
        <f t="shared" ref="K220:AW220" si="370">+SUM(K221:K225)</f>
        <v>41400</v>
      </c>
      <c r="L220" s="242">
        <f t="shared" si="370"/>
        <v>0</v>
      </c>
      <c r="M220" s="242">
        <f t="shared" si="370"/>
        <v>0</v>
      </c>
      <c r="N220" s="242">
        <f t="shared" si="370"/>
        <v>0</v>
      </c>
      <c r="O220" s="242">
        <f t="shared" si="370"/>
        <v>0</v>
      </c>
      <c r="P220" s="242">
        <f t="shared" si="370"/>
        <v>0</v>
      </c>
      <c r="Q220" s="242">
        <f t="shared" si="370"/>
        <v>0</v>
      </c>
      <c r="R220" s="242">
        <f t="shared" si="370"/>
        <v>39400</v>
      </c>
      <c r="S220" s="242">
        <f t="shared" si="370"/>
        <v>39400</v>
      </c>
      <c r="T220" s="242">
        <f t="shared" si="370"/>
        <v>0</v>
      </c>
      <c r="U220" s="242">
        <f t="shared" si="370"/>
        <v>0</v>
      </c>
      <c r="V220" s="242">
        <f t="shared" si="370"/>
        <v>0</v>
      </c>
      <c r="W220" s="242">
        <f t="shared" si="370"/>
        <v>0</v>
      </c>
      <c r="X220" s="242">
        <f t="shared" si="370"/>
        <v>0</v>
      </c>
      <c r="Y220" s="242">
        <f t="shared" si="370"/>
        <v>0</v>
      </c>
      <c r="Z220" s="242">
        <f t="shared" si="370"/>
        <v>0</v>
      </c>
      <c r="AA220" s="242">
        <f t="shared" si="370"/>
        <v>0</v>
      </c>
      <c r="AB220" s="242">
        <f t="shared" si="370"/>
        <v>0</v>
      </c>
      <c r="AC220" s="242">
        <f t="shared" si="370"/>
        <v>0</v>
      </c>
      <c r="AD220" s="242">
        <f t="shared" si="370"/>
        <v>0</v>
      </c>
      <c r="AE220" s="242">
        <f t="shared" si="370"/>
        <v>0</v>
      </c>
      <c r="AF220" s="242">
        <f t="shared" si="370"/>
        <v>0</v>
      </c>
      <c r="AG220" s="242">
        <f t="shared" si="370"/>
        <v>0</v>
      </c>
      <c r="AH220" s="242">
        <f t="shared" si="370"/>
        <v>0</v>
      </c>
      <c r="AI220" s="242">
        <f t="shared" si="370"/>
        <v>0</v>
      </c>
      <c r="AJ220" s="242">
        <f t="shared" si="370"/>
        <v>0</v>
      </c>
      <c r="AK220" s="242">
        <f t="shared" si="370"/>
        <v>150</v>
      </c>
      <c r="AL220" s="242">
        <f t="shared" si="370"/>
        <v>150</v>
      </c>
      <c r="AM220" s="242">
        <f t="shared" si="370"/>
        <v>0</v>
      </c>
      <c r="AN220" s="242">
        <f t="shared" si="370"/>
        <v>0</v>
      </c>
      <c r="AO220" s="242">
        <f t="shared" si="370"/>
        <v>150</v>
      </c>
      <c r="AP220" s="242">
        <f t="shared" si="370"/>
        <v>150</v>
      </c>
      <c r="AQ220" s="242">
        <f t="shared" si="370"/>
        <v>0</v>
      </c>
      <c r="AR220" s="242">
        <f t="shared" si="370"/>
        <v>0</v>
      </c>
      <c r="AS220" s="242">
        <f t="shared" si="370"/>
        <v>150</v>
      </c>
      <c r="AT220" s="242">
        <f t="shared" si="370"/>
        <v>150</v>
      </c>
      <c r="AU220" s="242">
        <f t="shared" si="370"/>
        <v>150</v>
      </c>
      <c r="AV220" s="242">
        <f t="shared" si="370"/>
        <v>10150</v>
      </c>
      <c r="AW220" s="242">
        <f t="shared" si="370"/>
        <v>10150</v>
      </c>
      <c r="AX220" s="242"/>
      <c r="AY220" s="242"/>
      <c r="AZ220" s="229"/>
      <c r="BA220" s="232"/>
    </row>
    <row r="221" spans="1:53" s="262" customFormat="1" ht="42" customHeight="1">
      <c r="A221" s="649">
        <v>1</v>
      </c>
      <c r="B221" s="267" t="s">
        <v>486</v>
      </c>
      <c r="C221" s="243" t="s">
        <v>471</v>
      </c>
      <c r="D221" s="243"/>
      <c r="E221" s="319" t="s">
        <v>820</v>
      </c>
      <c r="F221" s="243"/>
      <c r="G221" s="243"/>
      <c r="H221" s="243" t="s">
        <v>367</v>
      </c>
      <c r="I221" s="248" t="s">
        <v>903</v>
      </c>
      <c r="J221" s="212">
        <f>K221</f>
        <v>5700</v>
      </c>
      <c r="K221" s="212">
        <v>5700</v>
      </c>
      <c r="L221" s="212"/>
      <c r="M221" s="212"/>
      <c r="N221" s="212"/>
      <c r="O221" s="212"/>
      <c r="P221" s="212">
        <v>0</v>
      </c>
      <c r="Q221" s="212">
        <f>M221+X221</f>
        <v>0</v>
      </c>
      <c r="R221" s="212">
        <v>5700</v>
      </c>
      <c r="S221" s="212">
        <v>5700</v>
      </c>
      <c r="T221" s="212"/>
      <c r="U221" s="212"/>
      <c r="V221" s="212"/>
      <c r="W221" s="212">
        <v>0</v>
      </c>
      <c r="X221" s="212"/>
      <c r="Y221" s="212"/>
      <c r="Z221" s="212"/>
      <c r="AA221" s="212"/>
      <c r="AB221" s="212"/>
      <c r="AC221" s="212"/>
      <c r="AD221" s="212"/>
      <c r="AE221" s="212"/>
      <c r="AF221" s="212"/>
      <c r="AG221" s="212">
        <f t="shared" ref="AG221:AG222" si="371">W221+AA221</f>
        <v>0</v>
      </c>
      <c r="AH221" s="212">
        <f t="shared" ref="AH221:AH222" si="372">X221+AB221</f>
        <v>0</v>
      </c>
      <c r="AI221" s="212"/>
      <c r="AJ221" s="212"/>
      <c r="AK221" s="212">
        <f>AO221</f>
        <v>50</v>
      </c>
      <c r="AL221" s="212">
        <f>AP221</f>
        <v>50</v>
      </c>
      <c r="AM221" s="212">
        <f>AQ221</f>
        <v>0</v>
      </c>
      <c r="AN221" s="212">
        <f>AR221</f>
        <v>0</v>
      </c>
      <c r="AO221" s="212">
        <f>AP221</f>
        <v>50</v>
      </c>
      <c r="AP221" s="212">
        <v>50</v>
      </c>
      <c r="AQ221" s="212"/>
      <c r="AR221" s="212"/>
      <c r="AS221" s="212">
        <v>50</v>
      </c>
      <c r="AT221" s="212">
        <f>+AU221</f>
        <v>50</v>
      </c>
      <c r="AU221" s="212">
        <v>50</v>
      </c>
      <c r="AV221" s="212">
        <f>AW221</f>
        <v>1500</v>
      </c>
      <c r="AW221" s="212">
        <v>1500</v>
      </c>
      <c r="AX221" s="212"/>
      <c r="AY221" s="212"/>
      <c r="AZ221" s="261" t="s">
        <v>907</v>
      </c>
      <c r="BA221" s="201">
        <f>AW221</f>
        <v>1500</v>
      </c>
    </row>
    <row r="222" spans="1:53" s="262" customFormat="1" ht="39" customHeight="1">
      <c r="A222" s="209">
        <v>2</v>
      </c>
      <c r="B222" s="267" t="s">
        <v>485</v>
      </c>
      <c r="C222" s="243" t="s">
        <v>471</v>
      </c>
      <c r="D222" s="243"/>
      <c r="E222" s="319" t="s">
        <v>820</v>
      </c>
      <c r="F222" s="243"/>
      <c r="G222" s="243"/>
      <c r="H222" s="243" t="s">
        <v>676</v>
      </c>
      <c r="I222" s="248" t="s">
        <v>949</v>
      </c>
      <c r="J222" s="212">
        <f>+K222</f>
        <v>10800</v>
      </c>
      <c r="K222" s="212">
        <v>10800</v>
      </c>
      <c r="L222" s="212"/>
      <c r="M222" s="212"/>
      <c r="N222" s="212"/>
      <c r="O222" s="212"/>
      <c r="P222" s="212">
        <f>L222+W222</f>
        <v>0</v>
      </c>
      <c r="Q222" s="212">
        <f>M222+X222</f>
        <v>0</v>
      </c>
      <c r="R222" s="212">
        <f>S222</f>
        <v>10800</v>
      </c>
      <c r="S222" s="212">
        <v>10800</v>
      </c>
      <c r="T222" s="212"/>
      <c r="U222" s="212"/>
      <c r="V222" s="212"/>
      <c r="W222" s="212"/>
      <c r="X222" s="212"/>
      <c r="Y222" s="212"/>
      <c r="Z222" s="212"/>
      <c r="AA222" s="212"/>
      <c r="AB222" s="212"/>
      <c r="AC222" s="212"/>
      <c r="AD222" s="212"/>
      <c r="AE222" s="212"/>
      <c r="AF222" s="212"/>
      <c r="AG222" s="212">
        <f t="shared" si="371"/>
        <v>0</v>
      </c>
      <c r="AH222" s="212">
        <f t="shared" si="372"/>
        <v>0</v>
      </c>
      <c r="AI222" s="212"/>
      <c r="AJ222" s="212"/>
      <c r="AK222" s="212">
        <f t="shared" ref="AK222" si="373">AO222</f>
        <v>50</v>
      </c>
      <c r="AL222" s="212">
        <f t="shared" ref="AL222" si="374">AP222</f>
        <v>50</v>
      </c>
      <c r="AM222" s="212">
        <f t="shared" ref="AM222" si="375">AQ222</f>
        <v>0</v>
      </c>
      <c r="AN222" s="212">
        <f t="shared" ref="AN222" si="376">AR222</f>
        <v>0</v>
      </c>
      <c r="AO222" s="212">
        <f>AP222</f>
        <v>50</v>
      </c>
      <c r="AP222" s="212">
        <v>50</v>
      </c>
      <c r="AQ222" s="212"/>
      <c r="AR222" s="212"/>
      <c r="AS222" s="212">
        <v>50</v>
      </c>
      <c r="AT222" s="212">
        <f>+AU222</f>
        <v>50</v>
      </c>
      <c r="AU222" s="212">
        <v>50</v>
      </c>
      <c r="AV222" s="212">
        <f>AW222</f>
        <v>2500</v>
      </c>
      <c r="AW222" s="212">
        <v>2500</v>
      </c>
      <c r="AX222" s="212"/>
      <c r="AY222" s="212"/>
      <c r="AZ222" s="261" t="s">
        <v>907</v>
      </c>
      <c r="BA222" s="201">
        <f>AW222</f>
        <v>2500</v>
      </c>
    </row>
    <row r="223" spans="1:53" s="262" customFormat="1" ht="40.5" customHeight="1">
      <c r="A223" s="209">
        <v>3</v>
      </c>
      <c r="B223" s="267" t="s">
        <v>488</v>
      </c>
      <c r="C223" s="243" t="s">
        <v>471</v>
      </c>
      <c r="D223" s="243"/>
      <c r="E223" s="319" t="s">
        <v>820</v>
      </c>
      <c r="F223" s="243"/>
      <c r="G223" s="243"/>
      <c r="H223" s="243" t="s">
        <v>380</v>
      </c>
      <c r="I223" s="248" t="s">
        <v>950</v>
      </c>
      <c r="J223" s="212">
        <f>+K223</f>
        <v>12000</v>
      </c>
      <c r="K223" s="212">
        <v>12000</v>
      </c>
      <c r="L223" s="212"/>
      <c r="M223" s="212"/>
      <c r="N223" s="212"/>
      <c r="O223" s="212"/>
      <c r="P223" s="212">
        <f t="shared" ref="P223:Q224" si="377">L223+W223</f>
        <v>0</v>
      </c>
      <c r="Q223" s="212">
        <f t="shared" si="377"/>
        <v>0</v>
      </c>
      <c r="R223" s="212">
        <v>10000</v>
      </c>
      <c r="S223" s="212">
        <f>R223</f>
        <v>10000</v>
      </c>
      <c r="T223" s="212"/>
      <c r="U223" s="212"/>
      <c r="V223" s="212"/>
      <c r="W223" s="212"/>
      <c r="X223" s="212"/>
      <c r="Y223" s="212"/>
      <c r="Z223" s="212"/>
      <c r="AA223" s="212"/>
      <c r="AB223" s="212"/>
      <c r="AC223" s="212"/>
      <c r="AD223" s="212"/>
      <c r="AE223" s="212"/>
      <c r="AF223" s="212"/>
      <c r="AG223" s="212">
        <f t="shared" ref="AG223:AH223" si="378">W223+AA223</f>
        <v>0</v>
      </c>
      <c r="AH223" s="212">
        <f t="shared" si="378"/>
        <v>0</v>
      </c>
      <c r="AI223" s="212"/>
      <c r="AJ223" s="212"/>
      <c r="AK223" s="212">
        <f t="shared" ref="AK223:AN223" si="379">AO223</f>
        <v>50</v>
      </c>
      <c r="AL223" s="212">
        <f t="shared" si="379"/>
        <v>50</v>
      </c>
      <c r="AM223" s="212">
        <f t="shared" si="379"/>
        <v>0</v>
      </c>
      <c r="AN223" s="212">
        <f t="shared" si="379"/>
        <v>0</v>
      </c>
      <c r="AO223" s="212">
        <f>AP223</f>
        <v>50</v>
      </c>
      <c r="AP223" s="212">
        <v>50</v>
      </c>
      <c r="AQ223" s="212"/>
      <c r="AR223" s="212"/>
      <c r="AS223" s="212">
        <v>50</v>
      </c>
      <c r="AT223" s="212">
        <f>+AU223</f>
        <v>50</v>
      </c>
      <c r="AU223" s="212">
        <v>50</v>
      </c>
      <c r="AV223" s="212">
        <f>AW223</f>
        <v>3200</v>
      </c>
      <c r="AW223" s="212">
        <v>3200</v>
      </c>
      <c r="AX223" s="212"/>
      <c r="AY223" s="212"/>
      <c r="AZ223" s="261" t="s">
        <v>907</v>
      </c>
      <c r="BA223" s="201"/>
    </row>
    <row r="224" spans="1:53" s="262" customFormat="1" ht="39" customHeight="1">
      <c r="A224" s="649">
        <v>4</v>
      </c>
      <c r="B224" s="267" t="s">
        <v>489</v>
      </c>
      <c r="C224" s="243" t="s">
        <v>471</v>
      </c>
      <c r="D224" s="243"/>
      <c r="E224" s="319" t="s">
        <v>820</v>
      </c>
      <c r="F224" s="243"/>
      <c r="G224" s="243"/>
      <c r="H224" s="243"/>
      <c r="I224" s="248" t="s">
        <v>1044</v>
      </c>
      <c r="J224" s="212">
        <f>+K224</f>
        <v>5000</v>
      </c>
      <c r="K224" s="212">
        <v>5000</v>
      </c>
      <c r="L224" s="212"/>
      <c r="M224" s="212"/>
      <c r="N224" s="212"/>
      <c r="O224" s="212"/>
      <c r="P224" s="212">
        <f t="shared" si="377"/>
        <v>0</v>
      </c>
      <c r="Q224" s="212">
        <f t="shared" si="377"/>
        <v>0</v>
      </c>
      <c r="R224" s="212">
        <v>5000</v>
      </c>
      <c r="S224" s="212">
        <v>5000</v>
      </c>
      <c r="T224" s="212"/>
      <c r="U224" s="212"/>
      <c r="V224" s="212"/>
      <c r="W224" s="212"/>
      <c r="X224" s="212"/>
      <c r="Y224" s="212"/>
      <c r="Z224" s="212"/>
      <c r="AA224" s="212"/>
      <c r="AB224" s="212"/>
      <c r="AC224" s="212"/>
      <c r="AD224" s="212"/>
      <c r="AE224" s="212"/>
      <c r="AF224" s="212"/>
      <c r="AG224" s="212">
        <f>W224+AA224</f>
        <v>0</v>
      </c>
      <c r="AH224" s="212">
        <f>X224+AB224</f>
        <v>0</v>
      </c>
      <c r="AI224" s="212"/>
      <c r="AJ224" s="212"/>
      <c r="AK224" s="212">
        <f>AO224</f>
        <v>0</v>
      </c>
      <c r="AL224" s="212">
        <f>AP224</f>
        <v>0</v>
      </c>
      <c r="AM224" s="212">
        <f>AQ224</f>
        <v>0</v>
      </c>
      <c r="AN224" s="212">
        <f>AR224</f>
        <v>0</v>
      </c>
      <c r="AO224" s="212"/>
      <c r="AP224" s="212"/>
      <c r="AQ224" s="212"/>
      <c r="AR224" s="212"/>
      <c r="AS224" s="212"/>
      <c r="AT224" s="212"/>
      <c r="AU224" s="212"/>
      <c r="AV224" s="212">
        <f>+AW224</f>
        <v>1300</v>
      </c>
      <c r="AW224" s="212">
        <v>1300</v>
      </c>
      <c r="AX224" s="212"/>
      <c r="AY224" s="212"/>
      <c r="AZ224" s="261" t="s">
        <v>907</v>
      </c>
      <c r="BA224" s="201"/>
    </row>
    <row r="225" spans="1:53" s="262" customFormat="1" ht="39" customHeight="1">
      <c r="A225" s="649">
        <v>5</v>
      </c>
      <c r="B225" s="547" t="s">
        <v>952</v>
      </c>
      <c r="C225" s="243" t="s">
        <v>471</v>
      </c>
      <c r="D225" s="243"/>
      <c r="E225" s="319" t="s">
        <v>820</v>
      </c>
      <c r="F225" s="243"/>
      <c r="G225" s="243"/>
      <c r="H225" s="303" t="s">
        <v>367</v>
      </c>
      <c r="I225" s="303" t="s">
        <v>953</v>
      </c>
      <c r="J225" s="489">
        <f>K225</f>
        <v>7900</v>
      </c>
      <c r="K225" s="489">
        <v>7900</v>
      </c>
      <c r="L225" s="212"/>
      <c r="M225" s="212"/>
      <c r="N225" s="212"/>
      <c r="O225" s="212"/>
      <c r="P225" s="212"/>
      <c r="Q225" s="212"/>
      <c r="R225" s="212">
        <f>+S225</f>
        <v>7900</v>
      </c>
      <c r="S225" s="212">
        <v>7900</v>
      </c>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f>+AW225</f>
        <v>1650</v>
      </c>
      <c r="AW225" s="212">
        <v>1650</v>
      </c>
      <c r="AX225" s="212"/>
      <c r="AY225" s="212"/>
      <c r="AZ225" s="261" t="s">
        <v>907</v>
      </c>
      <c r="BA225" s="201">
        <f>AW225</f>
        <v>1650</v>
      </c>
    </row>
    <row r="226" spans="1:53" s="257" customFormat="1" ht="30.75" customHeight="1">
      <c r="A226" s="630"/>
      <c r="B226" s="631" t="s">
        <v>169</v>
      </c>
      <c r="C226" s="255"/>
      <c r="D226" s="255"/>
      <c r="E226" s="632"/>
      <c r="F226" s="255"/>
      <c r="G226" s="255"/>
      <c r="H226" s="534"/>
      <c r="I226" s="534"/>
      <c r="J226" s="627">
        <f>+SUM(J227:J230)</f>
        <v>36000</v>
      </c>
      <c r="K226" s="627">
        <f t="shared" ref="K226:AW226" si="380">+SUM(K227:K230)</f>
        <v>36000</v>
      </c>
      <c r="L226" s="627">
        <f t="shared" si="380"/>
        <v>0</v>
      </c>
      <c r="M226" s="627">
        <f t="shared" si="380"/>
        <v>0</v>
      </c>
      <c r="N226" s="627">
        <f t="shared" si="380"/>
        <v>0</v>
      </c>
      <c r="O226" s="627">
        <f t="shared" si="380"/>
        <v>0</v>
      </c>
      <c r="P226" s="627">
        <f t="shared" si="380"/>
        <v>0</v>
      </c>
      <c r="Q226" s="627">
        <f t="shared" si="380"/>
        <v>0</v>
      </c>
      <c r="R226" s="627">
        <f t="shared" si="380"/>
        <v>25495</v>
      </c>
      <c r="S226" s="627">
        <f t="shared" si="380"/>
        <v>25495</v>
      </c>
      <c r="T226" s="627">
        <f t="shared" si="380"/>
        <v>0</v>
      </c>
      <c r="U226" s="627">
        <f t="shared" si="380"/>
        <v>0</v>
      </c>
      <c r="V226" s="627">
        <f t="shared" si="380"/>
        <v>0</v>
      </c>
      <c r="W226" s="627">
        <f t="shared" si="380"/>
        <v>0</v>
      </c>
      <c r="X226" s="627">
        <f t="shared" si="380"/>
        <v>0</v>
      </c>
      <c r="Y226" s="627">
        <f t="shared" si="380"/>
        <v>0</v>
      </c>
      <c r="Z226" s="627">
        <f t="shared" si="380"/>
        <v>0</v>
      </c>
      <c r="AA226" s="627">
        <f t="shared" si="380"/>
        <v>0</v>
      </c>
      <c r="AB226" s="627">
        <f t="shared" si="380"/>
        <v>0</v>
      </c>
      <c r="AC226" s="627">
        <f t="shared" si="380"/>
        <v>0</v>
      </c>
      <c r="AD226" s="627">
        <f t="shared" si="380"/>
        <v>0</v>
      </c>
      <c r="AE226" s="627">
        <f t="shared" si="380"/>
        <v>0</v>
      </c>
      <c r="AF226" s="627">
        <f t="shared" si="380"/>
        <v>0</v>
      </c>
      <c r="AG226" s="627">
        <f t="shared" si="380"/>
        <v>0</v>
      </c>
      <c r="AH226" s="627">
        <f t="shared" si="380"/>
        <v>0</v>
      </c>
      <c r="AI226" s="627">
        <f t="shared" si="380"/>
        <v>0</v>
      </c>
      <c r="AJ226" s="627">
        <f t="shared" si="380"/>
        <v>0</v>
      </c>
      <c r="AK226" s="627">
        <f t="shared" si="380"/>
        <v>0</v>
      </c>
      <c r="AL226" s="627">
        <f t="shared" si="380"/>
        <v>0</v>
      </c>
      <c r="AM226" s="627">
        <f t="shared" si="380"/>
        <v>0</v>
      </c>
      <c r="AN226" s="627">
        <f t="shared" si="380"/>
        <v>0</v>
      </c>
      <c r="AO226" s="627">
        <f t="shared" si="380"/>
        <v>0</v>
      </c>
      <c r="AP226" s="627">
        <f t="shared" si="380"/>
        <v>0</v>
      </c>
      <c r="AQ226" s="627">
        <f t="shared" si="380"/>
        <v>0</v>
      </c>
      <c r="AR226" s="627">
        <f t="shared" si="380"/>
        <v>0</v>
      </c>
      <c r="AS226" s="627">
        <f t="shared" si="380"/>
        <v>0</v>
      </c>
      <c r="AT226" s="627">
        <f t="shared" si="380"/>
        <v>0</v>
      </c>
      <c r="AU226" s="627">
        <f t="shared" si="380"/>
        <v>0</v>
      </c>
      <c r="AV226" s="627">
        <f t="shared" si="380"/>
        <v>80</v>
      </c>
      <c r="AW226" s="627">
        <f t="shared" si="380"/>
        <v>80</v>
      </c>
      <c r="AX226" s="277"/>
      <c r="AY226" s="277"/>
      <c r="AZ226" s="301"/>
      <c r="BA226" s="533"/>
    </row>
    <row r="227" spans="1:53" s="262" customFormat="1" ht="36.75" customHeight="1">
      <c r="A227" s="649">
        <v>1</v>
      </c>
      <c r="B227" s="353" t="s">
        <v>1001</v>
      </c>
      <c r="C227" s="243"/>
      <c r="D227" s="243"/>
      <c r="E227" s="319"/>
      <c r="F227" s="243"/>
      <c r="G227" s="243"/>
      <c r="H227" s="303"/>
      <c r="I227" s="303"/>
      <c r="J227" s="489">
        <f>+K227</f>
        <v>14000</v>
      </c>
      <c r="K227" s="489">
        <v>14000</v>
      </c>
      <c r="L227" s="212"/>
      <c r="M227" s="212"/>
      <c r="N227" s="212"/>
      <c r="O227" s="212"/>
      <c r="P227" s="212"/>
      <c r="Q227" s="212"/>
      <c r="R227" s="212">
        <f>+S227</f>
        <v>3495</v>
      </c>
      <c r="S227" s="212">
        <v>3495</v>
      </c>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f>+AW227</f>
        <v>20</v>
      </c>
      <c r="AW227" s="212">
        <v>20</v>
      </c>
      <c r="AX227" s="212"/>
      <c r="AY227" s="212"/>
      <c r="AZ227" s="261" t="s">
        <v>944</v>
      </c>
      <c r="BA227" s="201"/>
    </row>
    <row r="228" spans="1:53" s="262" customFormat="1" ht="30.75" customHeight="1">
      <c r="A228" s="649">
        <v>2</v>
      </c>
      <c r="B228" s="547" t="s">
        <v>999</v>
      </c>
      <c r="C228" s="243"/>
      <c r="D228" s="243"/>
      <c r="E228" s="319"/>
      <c r="F228" s="243"/>
      <c r="G228" s="243"/>
      <c r="H228" s="303"/>
      <c r="I228" s="303"/>
      <c r="J228" s="489">
        <f>+K228</f>
        <v>5000</v>
      </c>
      <c r="K228" s="489">
        <v>5000</v>
      </c>
      <c r="L228" s="212"/>
      <c r="M228" s="212"/>
      <c r="N228" s="212"/>
      <c r="O228" s="212"/>
      <c r="P228" s="212"/>
      <c r="Q228" s="212"/>
      <c r="R228" s="212">
        <f>+S228</f>
        <v>5000</v>
      </c>
      <c r="S228" s="212">
        <v>5000</v>
      </c>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f t="shared" ref="AV228:AV230" si="381">+AW228</f>
        <v>20</v>
      </c>
      <c r="AW228" s="212">
        <v>20</v>
      </c>
      <c r="AX228" s="212"/>
      <c r="AY228" s="212"/>
      <c r="AZ228" s="261" t="s">
        <v>944</v>
      </c>
      <c r="BA228" s="201"/>
    </row>
    <row r="229" spans="1:53" s="533" customFormat="1" ht="40.5" customHeight="1">
      <c r="A229" s="209">
        <v>3</v>
      </c>
      <c r="B229" s="267" t="s">
        <v>487</v>
      </c>
      <c r="C229" s="243" t="s">
        <v>471</v>
      </c>
      <c r="D229" s="243"/>
      <c r="E229" s="243"/>
      <c r="F229" s="243"/>
      <c r="G229" s="255"/>
      <c r="H229" s="255"/>
      <c r="I229" s="211"/>
      <c r="J229" s="212">
        <f>+K229</f>
        <v>8000</v>
      </c>
      <c r="K229" s="212">
        <v>8000</v>
      </c>
      <c r="L229" s="212"/>
      <c r="M229" s="212"/>
      <c r="N229" s="212"/>
      <c r="O229" s="212"/>
      <c r="P229" s="212">
        <f t="shared" ref="P229:P271" si="382">L229+W229</f>
        <v>0</v>
      </c>
      <c r="Q229" s="212">
        <f t="shared" ref="Q229:Q271" si="383">M229+X229</f>
        <v>0</v>
      </c>
      <c r="R229" s="212">
        <v>8000</v>
      </c>
      <c r="S229" s="212">
        <v>8000</v>
      </c>
      <c r="T229" s="212"/>
      <c r="U229" s="212"/>
      <c r="V229" s="212"/>
      <c r="W229" s="212"/>
      <c r="X229" s="212"/>
      <c r="Y229" s="212"/>
      <c r="Z229" s="212"/>
      <c r="AA229" s="212"/>
      <c r="AB229" s="212"/>
      <c r="AC229" s="212"/>
      <c r="AD229" s="212"/>
      <c r="AE229" s="212"/>
      <c r="AF229" s="212"/>
      <c r="AG229" s="215">
        <f t="shared" si="327"/>
        <v>0</v>
      </c>
      <c r="AH229" s="215">
        <f t="shared" si="328"/>
        <v>0</v>
      </c>
      <c r="AI229" s="215"/>
      <c r="AJ229" s="215"/>
      <c r="AK229" s="215">
        <f t="shared" si="329"/>
        <v>0</v>
      </c>
      <c r="AL229" s="215">
        <f t="shared" si="330"/>
        <v>0</v>
      </c>
      <c r="AM229" s="215">
        <f t="shared" si="331"/>
        <v>0</v>
      </c>
      <c r="AN229" s="215">
        <f t="shared" si="332"/>
        <v>0</v>
      </c>
      <c r="AO229" s="212"/>
      <c r="AP229" s="212"/>
      <c r="AQ229" s="212"/>
      <c r="AR229" s="212"/>
      <c r="AS229" s="212"/>
      <c r="AT229" s="212"/>
      <c r="AU229" s="212"/>
      <c r="AV229" s="212">
        <f t="shared" si="381"/>
        <v>20</v>
      </c>
      <c r="AW229" s="212">
        <v>20</v>
      </c>
      <c r="AX229" s="212"/>
      <c r="AY229" s="212"/>
      <c r="AZ229" s="261" t="s">
        <v>944</v>
      </c>
    </row>
    <row r="230" spans="1:53" s="533" customFormat="1" ht="36.75" customHeight="1">
      <c r="A230" s="209">
        <v>4</v>
      </c>
      <c r="B230" s="353" t="s">
        <v>1000</v>
      </c>
      <c r="C230" s="243" t="s">
        <v>471</v>
      </c>
      <c r="D230" s="243"/>
      <c r="E230" s="243"/>
      <c r="F230" s="243"/>
      <c r="G230" s="255"/>
      <c r="H230" s="255"/>
      <c r="I230" s="217"/>
      <c r="J230" s="212">
        <f>+K230</f>
        <v>9000</v>
      </c>
      <c r="K230" s="212">
        <v>9000</v>
      </c>
      <c r="L230" s="212"/>
      <c r="M230" s="212"/>
      <c r="N230" s="212"/>
      <c r="O230" s="212"/>
      <c r="P230" s="212">
        <f t="shared" si="382"/>
        <v>0</v>
      </c>
      <c r="Q230" s="212">
        <f t="shared" si="383"/>
        <v>0</v>
      </c>
      <c r="R230" s="212">
        <v>9000</v>
      </c>
      <c r="S230" s="212">
        <v>9000</v>
      </c>
      <c r="T230" s="212"/>
      <c r="U230" s="212"/>
      <c r="V230" s="212"/>
      <c r="W230" s="212"/>
      <c r="X230" s="212"/>
      <c r="Y230" s="212"/>
      <c r="Z230" s="212"/>
      <c r="AA230" s="212"/>
      <c r="AB230" s="212"/>
      <c r="AC230" s="212"/>
      <c r="AD230" s="212"/>
      <c r="AE230" s="212"/>
      <c r="AF230" s="212"/>
      <c r="AG230" s="215">
        <f t="shared" si="327"/>
        <v>0</v>
      </c>
      <c r="AH230" s="215">
        <f t="shared" si="328"/>
        <v>0</v>
      </c>
      <c r="AI230" s="215"/>
      <c r="AJ230" s="215"/>
      <c r="AK230" s="215">
        <f t="shared" si="329"/>
        <v>0</v>
      </c>
      <c r="AL230" s="215">
        <f t="shared" si="330"/>
        <v>0</v>
      </c>
      <c r="AM230" s="215">
        <f t="shared" si="331"/>
        <v>0</v>
      </c>
      <c r="AN230" s="215">
        <f t="shared" si="332"/>
        <v>0</v>
      </c>
      <c r="AO230" s="212"/>
      <c r="AP230" s="212"/>
      <c r="AQ230" s="212"/>
      <c r="AR230" s="212"/>
      <c r="AS230" s="212"/>
      <c r="AT230" s="212"/>
      <c r="AU230" s="212"/>
      <c r="AV230" s="212">
        <f t="shared" si="381"/>
        <v>20</v>
      </c>
      <c r="AW230" s="212">
        <v>20</v>
      </c>
      <c r="AX230" s="212"/>
      <c r="AY230" s="212"/>
      <c r="AZ230" s="261" t="s">
        <v>944</v>
      </c>
    </row>
    <row r="231" spans="1:53" ht="25.5" customHeight="1">
      <c r="A231" s="258"/>
      <c r="B231" s="267"/>
      <c r="C231" s="260"/>
      <c r="D231" s="260"/>
      <c r="E231" s="260"/>
      <c r="F231" s="260"/>
      <c r="G231" s="243"/>
      <c r="H231" s="243"/>
      <c r="I231" s="248"/>
      <c r="J231" s="212"/>
      <c r="K231" s="212" t="s">
        <v>951</v>
      </c>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5">
        <f t="shared" si="327"/>
        <v>0</v>
      </c>
      <c r="AH231" s="215">
        <f t="shared" si="328"/>
        <v>0</v>
      </c>
      <c r="AI231" s="215"/>
      <c r="AJ231" s="215"/>
      <c r="AK231" s="215">
        <f t="shared" si="329"/>
        <v>0</v>
      </c>
      <c r="AL231" s="215">
        <f t="shared" si="330"/>
        <v>0</v>
      </c>
      <c r="AM231" s="215">
        <f t="shared" si="331"/>
        <v>0</v>
      </c>
      <c r="AN231" s="215">
        <f t="shared" si="332"/>
        <v>0</v>
      </c>
      <c r="AO231" s="212"/>
      <c r="AP231" s="212"/>
      <c r="AQ231" s="212"/>
      <c r="AR231" s="212"/>
      <c r="AS231" s="212"/>
      <c r="AT231" s="212"/>
      <c r="AU231" s="212"/>
      <c r="AV231" s="212"/>
      <c r="AW231" s="212"/>
      <c r="AX231" s="212"/>
      <c r="AY231" s="212"/>
      <c r="AZ231" s="243"/>
    </row>
    <row r="232" spans="1:53" s="232" customFormat="1" ht="22.5" customHeight="1">
      <c r="A232" s="227"/>
      <c r="B232" s="228" t="s">
        <v>327</v>
      </c>
      <c r="C232" s="229"/>
      <c r="D232" s="229"/>
      <c r="E232" s="229"/>
      <c r="F232" s="229"/>
      <c r="G232" s="229"/>
      <c r="H232" s="229"/>
      <c r="I232" s="231"/>
      <c r="J232" s="215"/>
      <c r="K232" s="215"/>
      <c r="L232" s="215"/>
      <c r="M232" s="215"/>
      <c r="N232" s="215"/>
      <c r="O232" s="215"/>
      <c r="P232" s="212"/>
      <c r="Q232" s="212"/>
      <c r="R232" s="215"/>
      <c r="S232" s="215"/>
      <c r="T232" s="215"/>
      <c r="U232" s="215"/>
      <c r="V232" s="215"/>
      <c r="W232" s="215"/>
      <c r="X232" s="215"/>
      <c r="Y232" s="215"/>
      <c r="Z232" s="215"/>
      <c r="AA232" s="215"/>
      <c r="AB232" s="215">
        <v>22480</v>
      </c>
      <c r="AC232" s="215"/>
      <c r="AD232" s="215"/>
      <c r="AE232" s="215"/>
      <c r="AF232" s="215">
        <f>AB232*1.05</f>
        <v>23604</v>
      </c>
      <c r="AG232" s="215"/>
      <c r="AH232" s="215"/>
      <c r="AI232" s="215"/>
      <c r="AJ232" s="215"/>
      <c r="AK232" s="215"/>
      <c r="AL232" s="215"/>
      <c r="AM232" s="215"/>
      <c r="AN232" s="215"/>
      <c r="AO232" s="215"/>
      <c r="AP232" s="215" t="e">
        <f>#REF!</f>
        <v>#REF!</v>
      </c>
      <c r="AQ232" s="215"/>
      <c r="AR232" s="215"/>
      <c r="AS232" s="215"/>
      <c r="AT232" s="215"/>
      <c r="AU232" s="215"/>
      <c r="AV232" s="215"/>
      <c r="AW232" s="215">
        <v>32863</v>
      </c>
      <c r="AX232" s="215"/>
      <c r="AY232" s="215"/>
      <c r="AZ232" s="213"/>
    </row>
    <row r="233" spans="1:53" s="251" customFormat="1" ht="39" customHeight="1">
      <c r="A233" s="252" t="s">
        <v>490</v>
      </c>
      <c r="B233" s="253" t="s">
        <v>491</v>
      </c>
      <c r="C233" s="229"/>
      <c r="D233" s="229"/>
      <c r="E233" s="229"/>
      <c r="F233" s="229"/>
      <c r="G233" s="235"/>
      <c r="H233" s="229"/>
      <c r="I233" s="231"/>
      <c r="J233" s="215">
        <f t="shared" ref="J233:AW233" si="384">J237+J247+J249</f>
        <v>137770</v>
      </c>
      <c r="K233" s="215">
        <f t="shared" si="384"/>
        <v>101777</v>
      </c>
      <c r="L233" s="215">
        <f t="shared" si="384"/>
        <v>7500</v>
      </c>
      <c r="M233" s="215">
        <f t="shared" si="384"/>
        <v>0</v>
      </c>
      <c r="N233" s="215">
        <f t="shared" si="384"/>
        <v>3741</v>
      </c>
      <c r="O233" s="215">
        <f t="shared" si="384"/>
        <v>0</v>
      </c>
      <c r="P233" s="215">
        <f t="shared" si="384"/>
        <v>8469</v>
      </c>
      <c r="Q233" s="215">
        <f t="shared" si="384"/>
        <v>969</v>
      </c>
      <c r="R233" s="215">
        <f t="shared" si="384"/>
        <v>125338.1</v>
      </c>
      <c r="S233" s="215">
        <f t="shared" si="384"/>
        <v>97444.1</v>
      </c>
      <c r="T233" s="215">
        <f t="shared" si="384"/>
        <v>0</v>
      </c>
      <c r="U233" s="215">
        <f t="shared" si="384"/>
        <v>0</v>
      </c>
      <c r="V233" s="215">
        <f t="shared" si="384"/>
        <v>28887</v>
      </c>
      <c r="W233" s="215">
        <f t="shared" si="384"/>
        <v>969</v>
      </c>
      <c r="X233" s="215">
        <f t="shared" si="384"/>
        <v>969</v>
      </c>
      <c r="Y233" s="215">
        <f t="shared" si="384"/>
        <v>0</v>
      </c>
      <c r="Z233" s="215">
        <f t="shared" si="384"/>
        <v>0</v>
      </c>
      <c r="AA233" s="215">
        <f t="shared" si="384"/>
        <v>29072</v>
      </c>
      <c r="AB233" s="215">
        <f t="shared" si="384"/>
        <v>22072</v>
      </c>
      <c r="AC233" s="215">
        <f t="shared" si="384"/>
        <v>0</v>
      </c>
      <c r="AD233" s="215">
        <f t="shared" si="384"/>
        <v>0</v>
      </c>
      <c r="AE233" s="215">
        <f t="shared" si="384"/>
        <v>1387.4349999999999</v>
      </c>
      <c r="AF233" s="215">
        <f t="shared" si="384"/>
        <v>9172.4349999999995</v>
      </c>
      <c r="AG233" s="215">
        <f t="shared" si="384"/>
        <v>32221</v>
      </c>
      <c r="AH233" s="215">
        <f t="shared" si="384"/>
        <v>25221</v>
      </c>
      <c r="AI233" s="215">
        <f t="shared" si="384"/>
        <v>0</v>
      </c>
      <c r="AJ233" s="215">
        <f t="shared" si="384"/>
        <v>0</v>
      </c>
      <c r="AK233" s="215">
        <f t="shared" si="384"/>
        <v>19569</v>
      </c>
      <c r="AL233" s="215">
        <f t="shared" si="384"/>
        <v>19569</v>
      </c>
      <c r="AM233" s="215">
        <f t="shared" si="384"/>
        <v>1000</v>
      </c>
      <c r="AN233" s="215">
        <f t="shared" si="384"/>
        <v>0</v>
      </c>
      <c r="AO233" s="215">
        <f t="shared" si="384"/>
        <v>19569</v>
      </c>
      <c r="AP233" s="215">
        <f t="shared" si="384"/>
        <v>19569</v>
      </c>
      <c r="AQ233" s="215">
        <f t="shared" si="384"/>
        <v>1000</v>
      </c>
      <c r="AR233" s="215">
        <f t="shared" si="384"/>
        <v>0</v>
      </c>
      <c r="AS233" s="215">
        <f t="shared" si="384"/>
        <v>48456</v>
      </c>
      <c r="AT233" s="215">
        <f t="shared" si="384"/>
        <v>44790</v>
      </c>
      <c r="AU233" s="215">
        <f t="shared" si="384"/>
        <v>44790</v>
      </c>
      <c r="AV233" s="215">
        <f t="shared" si="384"/>
        <v>46175</v>
      </c>
      <c r="AW233" s="215">
        <f t="shared" si="384"/>
        <v>32863</v>
      </c>
      <c r="AX233" s="215"/>
      <c r="AY233" s="215"/>
      <c r="AZ233" s="265"/>
      <c r="BA233" s="232"/>
    </row>
    <row r="234" spans="1:53" s="257" customFormat="1" ht="33.75" hidden="1" customHeight="1">
      <c r="A234" s="227" t="s">
        <v>33</v>
      </c>
      <c r="B234" s="234" t="s">
        <v>286</v>
      </c>
      <c r="C234" s="255"/>
      <c r="D234" s="255"/>
      <c r="E234" s="255"/>
      <c r="F234" s="255"/>
      <c r="G234" s="255"/>
      <c r="H234" s="255"/>
      <c r="I234" s="256"/>
      <c r="J234" s="277">
        <f>J235</f>
        <v>47000</v>
      </c>
      <c r="K234" s="277">
        <f t="shared" ref="K234:AR235" si="385">K235</f>
        <v>47000</v>
      </c>
      <c r="L234" s="277">
        <f t="shared" si="385"/>
        <v>21469</v>
      </c>
      <c r="M234" s="277">
        <f t="shared" si="385"/>
        <v>21469</v>
      </c>
      <c r="N234" s="277">
        <f t="shared" si="385"/>
        <v>21469</v>
      </c>
      <c r="O234" s="277">
        <f t="shared" si="385"/>
        <v>21469</v>
      </c>
      <c r="P234" s="277">
        <f t="shared" si="385"/>
        <v>35360</v>
      </c>
      <c r="Q234" s="277">
        <f t="shared" si="385"/>
        <v>35360</v>
      </c>
      <c r="R234" s="277">
        <f t="shared" si="385"/>
        <v>20531</v>
      </c>
      <c r="S234" s="277">
        <f t="shared" si="385"/>
        <v>20531</v>
      </c>
      <c r="T234" s="277">
        <f t="shared" si="385"/>
        <v>0</v>
      </c>
      <c r="U234" s="277">
        <f t="shared" si="385"/>
        <v>0</v>
      </c>
      <c r="V234" s="277">
        <f t="shared" si="385"/>
        <v>30907</v>
      </c>
      <c r="W234" s="277">
        <f t="shared" si="385"/>
        <v>13891</v>
      </c>
      <c r="X234" s="277">
        <f t="shared" si="385"/>
        <v>13891</v>
      </c>
      <c r="Y234" s="277">
        <f t="shared" si="385"/>
        <v>0</v>
      </c>
      <c r="Z234" s="277">
        <f t="shared" si="385"/>
        <v>0</v>
      </c>
      <c r="AA234" s="277">
        <f t="shared" si="385"/>
        <v>5000</v>
      </c>
      <c r="AB234" s="277">
        <f t="shared" si="385"/>
        <v>5000</v>
      </c>
      <c r="AC234" s="277">
        <f t="shared" si="385"/>
        <v>0</v>
      </c>
      <c r="AD234" s="277">
        <f t="shared" si="385"/>
        <v>0</v>
      </c>
      <c r="AE234" s="277">
        <f t="shared" si="385"/>
        <v>0</v>
      </c>
      <c r="AF234" s="277">
        <f t="shared" si="385"/>
        <v>4000</v>
      </c>
      <c r="AG234" s="277">
        <f t="shared" si="385"/>
        <v>18891</v>
      </c>
      <c r="AH234" s="277">
        <f t="shared" si="385"/>
        <v>18891</v>
      </c>
      <c r="AI234" s="277"/>
      <c r="AJ234" s="277"/>
      <c r="AK234" s="277">
        <f t="shared" si="385"/>
        <v>4000</v>
      </c>
      <c r="AL234" s="277">
        <f t="shared" si="385"/>
        <v>4000</v>
      </c>
      <c r="AM234" s="277">
        <f t="shared" si="385"/>
        <v>0</v>
      </c>
      <c r="AN234" s="277">
        <f t="shared" si="385"/>
        <v>0</v>
      </c>
      <c r="AO234" s="277">
        <f t="shared" si="385"/>
        <v>4000</v>
      </c>
      <c r="AP234" s="277">
        <f t="shared" si="385"/>
        <v>4000</v>
      </c>
      <c r="AQ234" s="277">
        <f t="shared" si="385"/>
        <v>0</v>
      </c>
      <c r="AR234" s="277">
        <f t="shared" si="385"/>
        <v>0</v>
      </c>
      <c r="AS234" s="277"/>
      <c r="AT234" s="277"/>
      <c r="AU234" s="277"/>
      <c r="AV234" s="277"/>
      <c r="AW234" s="277"/>
      <c r="AX234" s="277"/>
      <c r="AY234" s="277"/>
      <c r="AZ234" s="255"/>
      <c r="BA234" s="533"/>
    </row>
    <row r="235" spans="1:53" s="257" customFormat="1" ht="27" hidden="1" customHeight="1">
      <c r="A235" s="275" t="s">
        <v>35</v>
      </c>
      <c r="B235" s="236" t="s">
        <v>629</v>
      </c>
      <c r="C235" s="255"/>
      <c r="D235" s="255"/>
      <c r="E235" s="255"/>
      <c r="F235" s="255"/>
      <c r="G235" s="255"/>
      <c r="H235" s="255"/>
      <c r="I235" s="256"/>
      <c r="J235" s="277">
        <f>J236</f>
        <v>47000</v>
      </c>
      <c r="K235" s="277">
        <f t="shared" si="385"/>
        <v>47000</v>
      </c>
      <c r="L235" s="277">
        <f t="shared" si="385"/>
        <v>21469</v>
      </c>
      <c r="M235" s="277">
        <f t="shared" si="385"/>
        <v>21469</v>
      </c>
      <c r="N235" s="277">
        <f t="shared" si="385"/>
        <v>21469</v>
      </c>
      <c r="O235" s="277">
        <f t="shared" si="385"/>
        <v>21469</v>
      </c>
      <c r="P235" s="277">
        <f t="shared" si="385"/>
        <v>35360</v>
      </c>
      <c r="Q235" s="277">
        <f t="shared" si="385"/>
        <v>35360</v>
      </c>
      <c r="R235" s="277">
        <f t="shared" si="385"/>
        <v>20531</v>
      </c>
      <c r="S235" s="277">
        <f t="shared" si="385"/>
        <v>20531</v>
      </c>
      <c r="T235" s="277">
        <f t="shared" si="385"/>
        <v>0</v>
      </c>
      <c r="U235" s="277">
        <f t="shared" si="385"/>
        <v>0</v>
      </c>
      <c r="V235" s="277">
        <f t="shared" si="385"/>
        <v>30907</v>
      </c>
      <c r="W235" s="277">
        <f t="shared" si="385"/>
        <v>13891</v>
      </c>
      <c r="X235" s="277">
        <f t="shared" si="385"/>
        <v>13891</v>
      </c>
      <c r="Y235" s="277">
        <f t="shared" si="385"/>
        <v>0</v>
      </c>
      <c r="Z235" s="277">
        <f t="shared" si="385"/>
        <v>0</v>
      </c>
      <c r="AA235" s="277">
        <f t="shared" si="385"/>
        <v>5000</v>
      </c>
      <c r="AB235" s="277">
        <f t="shared" si="385"/>
        <v>5000</v>
      </c>
      <c r="AC235" s="277">
        <f t="shared" si="385"/>
        <v>0</v>
      </c>
      <c r="AD235" s="277">
        <f t="shared" si="385"/>
        <v>0</v>
      </c>
      <c r="AE235" s="277">
        <f t="shared" si="385"/>
        <v>0</v>
      </c>
      <c r="AF235" s="277">
        <f t="shared" si="385"/>
        <v>4000</v>
      </c>
      <c r="AG235" s="277">
        <f t="shared" si="385"/>
        <v>18891</v>
      </c>
      <c r="AH235" s="277">
        <f t="shared" si="385"/>
        <v>18891</v>
      </c>
      <c r="AI235" s="277"/>
      <c r="AJ235" s="277"/>
      <c r="AK235" s="277">
        <f t="shared" si="385"/>
        <v>4000</v>
      </c>
      <c r="AL235" s="277">
        <f t="shared" si="385"/>
        <v>4000</v>
      </c>
      <c r="AM235" s="277">
        <f t="shared" si="385"/>
        <v>0</v>
      </c>
      <c r="AN235" s="277">
        <f t="shared" si="385"/>
        <v>0</v>
      </c>
      <c r="AO235" s="277">
        <f t="shared" si="385"/>
        <v>4000</v>
      </c>
      <c r="AP235" s="277">
        <f t="shared" si="385"/>
        <v>4000</v>
      </c>
      <c r="AQ235" s="277">
        <f t="shared" si="385"/>
        <v>0</v>
      </c>
      <c r="AR235" s="277">
        <f t="shared" si="385"/>
        <v>0</v>
      </c>
      <c r="AS235" s="277"/>
      <c r="AT235" s="277"/>
      <c r="AU235" s="277"/>
      <c r="AV235" s="277"/>
      <c r="AW235" s="277"/>
      <c r="AX235" s="277"/>
      <c r="AY235" s="277"/>
      <c r="AZ235" s="255"/>
      <c r="BA235" s="533"/>
    </row>
    <row r="236" spans="1:53" s="262" customFormat="1" ht="63" hidden="1" customHeight="1">
      <c r="A236" s="649">
        <v>1</v>
      </c>
      <c r="B236" s="274" t="s">
        <v>493</v>
      </c>
      <c r="C236" s="243" t="s">
        <v>492</v>
      </c>
      <c r="D236" s="243"/>
      <c r="E236" s="319" t="s">
        <v>822</v>
      </c>
      <c r="F236" s="243"/>
      <c r="G236" s="243"/>
      <c r="H236" s="243" t="s">
        <v>866</v>
      </c>
      <c r="I236" s="248" t="s">
        <v>865</v>
      </c>
      <c r="J236" s="212">
        <v>47000</v>
      </c>
      <c r="K236" s="212">
        <v>47000</v>
      </c>
      <c r="L236" s="212">
        <v>21469</v>
      </c>
      <c r="M236" s="212">
        <v>21469</v>
      </c>
      <c r="N236" s="212">
        <v>21469</v>
      </c>
      <c r="O236" s="212">
        <v>21469</v>
      </c>
      <c r="P236" s="212">
        <f t="shared" si="382"/>
        <v>35360</v>
      </c>
      <c r="Q236" s="212">
        <f t="shared" si="383"/>
        <v>35360</v>
      </c>
      <c r="R236" s="212">
        <f>S236</f>
        <v>20531</v>
      </c>
      <c r="S236" s="212">
        <v>20531</v>
      </c>
      <c r="T236" s="212"/>
      <c r="U236" s="212"/>
      <c r="V236" s="212">
        <f>21469+4438+5000</f>
        <v>30907</v>
      </c>
      <c r="W236" s="212">
        <v>13891</v>
      </c>
      <c r="X236" s="212">
        <v>13891</v>
      </c>
      <c r="Y236" s="212"/>
      <c r="Z236" s="212"/>
      <c r="AA236" s="212">
        <f>AB236</f>
        <v>5000</v>
      </c>
      <c r="AB236" s="212">
        <v>5000</v>
      </c>
      <c r="AC236" s="212"/>
      <c r="AD236" s="212"/>
      <c r="AE236" s="212"/>
      <c r="AF236" s="212">
        <v>4000</v>
      </c>
      <c r="AG236" s="212">
        <f t="shared" si="327"/>
        <v>18891</v>
      </c>
      <c r="AH236" s="212">
        <f>X236+AB236</f>
        <v>18891</v>
      </c>
      <c r="AI236" s="212"/>
      <c r="AJ236" s="212"/>
      <c r="AK236" s="212">
        <f t="shared" si="329"/>
        <v>4000</v>
      </c>
      <c r="AL236" s="212">
        <f t="shared" si="330"/>
        <v>4000</v>
      </c>
      <c r="AM236" s="212">
        <f t="shared" si="331"/>
        <v>0</v>
      </c>
      <c r="AN236" s="212">
        <f t="shared" si="332"/>
        <v>0</v>
      </c>
      <c r="AO236" s="212">
        <f>AP236</f>
        <v>4000</v>
      </c>
      <c r="AP236" s="212">
        <v>4000</v>
      </c>
      <c r="AQ236" s="212"/>
      <c r="AR236" s="212"/>
      <c r="AS236" s="212"/>
      <c r="AT236" s="212"/>
      <c r="AU236" s="212"/>
      <c r="AV236" s="212"/>
      <c r="AW236" s="212"/>
      <c r="AX236" s="212"/>
      <c r="AY236" s="212"/>
      <c r="AZ236" s="261" t="s">
        <v>654</v>
      </c>
      <c r="BA236" s="201"/>
    </row>
    <row r="237" spans="1:53" s="251" customFormat="1" ht="33.75" customHeight="1">
      <c r="A237" s="227" t="s">
        <v>46</v>
      </c>
      <c r="B237" s="234" t="s">
        <v>897</v>
      </c>
      <c r="C237" s="229"/>
      <c r="D237" s="229"/>
      <c r="E237" s="229"/>
      <c r="F237" s="229"/>
      <c r="G237" s="229"/>
      <c r="H237" s="229"/>
      <c r="I237" s="231"/>
      <c r="J237" s="215">
        <f>J238</f>
        <v>116720</v>
      </c>
      <c r="K237" s="215">
        <f t="shared" ref="K237:AW237" si="386">K238</f>
        <v>80727</v>
      </c>
      <c r="L237" s="215">
        <f t="shared" si="386"/>
        <v>7500</v>
      </c>
      <c r="M237" s="215">
        <f t="shared" si="386"/>
        <v>0</v>
      </c>
      <c r="N237" s="215">
        <f t="shared" si="386"/>
        <v>3741</v>
      </c>
      <c r="O237" s="215">
        <f t="shared" si="386"/>
        <v>0</v>
      </c>
      <c r="P237" s="215">
        <f t="shared" si="386"/>
        <v>8469</v>
      </c>
      <c r="Q237" s="215">
        <f t="shared" si="386"/>
        <v>969</v>
      </c>
      <c r="R237" s="215">
        <f t="shared" si="386"/>
        <v>104288.1</v>
      </c>
      <c r="S237" s="215">
        <f t="shared" si="386"/>
        <v>76394.100000000006</v>
      </c>
      <c r="T237" s="215">
        <f t="shared" si="386"/>
        <v>0</v>
      </c>
      <c r="U237" s="215">
        <f t="shared" si="386"/>
        <v>0</v>
      </c>
      <c r="V237" s="215">
        <f t="shared" si="386"/>
        <v>28887</v>
      </c>
      <c r="W237" s="215">
        <f t="shared" si="386"/>
        <v>969</v>
      </c>
      <c r="X237" s="215">
        <f t="shared" si="386"/>
        <v>969</v>
      </c>
      <c r="Y237" s="215">
        <f t="shared" si="386"/>
        <v>0</v>
      </c>
      <c r="Z237" s="215">
        <f t="shared" si="386"/>
        <v>0</v>
      </c>
      <c r="AA237" s="215">
        <f t="shared" si="386"/>
        <v>28922</v>
      </c>
      <c r="AB237" s="215">
        <f t="shared" si="386"/>
        <v>21922</v>
      </c>
      <c r="AC237" s="215">
        <f t="shared" si="386"/>
        <v>0</v>
      </c>
      <c r="AD237" s="215">
        <f t="shared" si="386"/>
        <v>0</v>
      </c>
      <c r="AE237" s="215">
        <f t="shared" si="386"/>
        <v>1387.4349999999999</v>
      </c>
      <c r="AF237" s="215">
        <f t="shared" si="386"/>
        <v>9172.4349999999995</v>
      </c>
      <c r="AG237" s="215">
        <f t="shared" si="386"/>
        <v>32071</v>
      </c>
      <c r="AH237" s="215">
        <f t="shared" si="386"/>
        <v>25071</v>
      </c>
      <c r="AI237" s="215"/>
      <c r="AJ237" s="215"/>
      <c r="AK237" s="215">
        <f t="shared" si="386"/>
        <v>17469</v>
      </c>
      <c r="AL237" s="215">
        <f t="shared" si="386"/>
        <v>17469</v>
      </c>
      <c r="AM237" s="215">
        <f t="shared" si="386"/>
        <v>1000</v>
      </c>
      <c r="AN237" s="215">
        <f t="shared" si="386"/>
        <v>0</v>
      </c>
      <c r="AO237" s="215">
        <f t="shared" si="386"/>
        <v>17469</v>
      </c>
      <c r="AP237" s="215">
        <f t="shared" si="386"/>
        <v>17469</v>
      </c>
      <c r="AQ237" s="215">
        <f t="shared" si="386"/>
        <v>1000</v>
      </c>
      <c r="AR237" s="215">
        <f t="shared" si="386"/>
        <v>0</v>
      </c>
      <c r="AS237" s="215">
        <f t="shared" si="386"/>
        <v>46356</v>
      </c>
      <c r="AT237" s="215">
        <f t="shared" si="386"/>
        <v>42540</v>
      </c>
      <c r="AU237" s="215">
        <f t="shared" si="386"/>
        <v>42540</v>
      </c>
      <c r="AV237" s="215">
        <f t="shared" si="386"/>
        <v>40175</v>
      </c>
      <c r="AW237" s="215">
        <f t="shared" si="386"/>
        <v>26863</v>
      </c>
      <c r="AX237" s="215"/>
      <c r="AY237" s="215"/>
      <c r="AZ237" s="243"/>
      <c r="BA237" s="232"/>
    </row>
    <row r="238" spans="1:53" s="257" customFormat="1" ht="26.45" customHeight="1">
      <c r="A238" s="275"/>
      <c r="B238" s="236" t="s">
        <v>629</v>
      </c>
      <c r="C238" s="255"/>
      <c r="D238" s="255"/>
      <c r="E238" s="255"/>
      <c r="F238" s="255"/>
      <c r="G238" s="255"/>
      <c r="H238" s="255"/>
      <c r="I238" s="256"/>
      <c r="J238" s="277">
        <f>SUM(J239:J246)</f>
        <v>116720</v>
      </c>
      <c r="K238" s="277">
        <f t="shared" ref="K238:AR238" si="387">SUM(K239:K246)</f>
        <v>80727</v>
      </c>
      <c r="L238" s="277">
        <f t="shared" si="387"/>
        <v>7500</v>
      </c>
      <c r="M238" s="277">
        <f t="shared" si="387"/>
        <v>0</v>
      </c>
      <c r="N238" s="277">
        <f t="shared" si="387"/>
        <v>3741</v>
      </c>
      <c r="O238" s="277">
        <f t="shared" si="387"/>
        <v>0</v>
      </c>
      <c r="P238" s="277">
        <f t="shared" si="387"/>
        <v>8469</v>
      </c>
      <c r="Q238" s="277">
        <f t="shared" si="387"/>
        <v>969</v>
      </c>
      <c r="R238" s="277">
        <f t="shared" si="387"/>
        <v>104288.1</v>
      </c>
      <c r="S238" s="277">
        <f t="shared" si="387"/>
        <v>76394.100000000006</v>
      </c>
      <c r="T238" s="277">
        <f t="shared" si="387"/>
        <v>0</v>
      </c>
      <c r="U238" s="277">
        <f t="shared" si="387"/>
        <v>0</v>
      </c>
      <c r="V238" s="277">
        <f t="shared" si="387"/>
        <v>28887</v>
      </c>
      <c r="W238" s="277">
        <f t="shared" si="387"/>
        <v>969</v>
      </c>
      <c r="X238" s="277">
        <f t="shared" si="387"/>
        <v>969</v>
      </c>
      <c r="Y238" s="277">
        <f t="shared" si="387"/>
        <v>0</v>
      </c>
      <c r="Z238" s="277">
        <f t="shared" si="387"/>
        <v>0</v>
      </c>
      <c r="AA238" s="277">
        <f t="shared" si="387"/>
        <v>28922</v>
      </c>
      <c r="AB238" s="277">
        <f t="shared" si="387"/>
        <v>21922</v>
      </c>
      <c r="AC238" s="277">
        <f t="shared" si="387"/>
        <v>0</v>
      </c>
      <c r="AD238" s="277">
        <f t="shared" si="387"/>
        <v>0</v>
      </c>
      <c r="AE238" s="277">
        <f t="shared" si="387"/>
        <v>1387.4349999999999</v>
      </c>
      <c r="AF238" s="277">
        <f t="shared" si="387"/>
        <v>9172.4349999999995</v>
      </c>
      <c r="AG238" s="277">
        <f t="shared" si="387"/>
        <v>32071</v>
      </c>
      <c r="AH238" s="277">
        <f t="shared" si="387"/>
        <v>25071</v>
      </c>
      <c r="AI238" s="277">
        <f t="shared" si="387"/>
        <v>0</v>
      </c>
      <c r="AJ238" s="277">
        <f t="shared" si="387"/>
        <v>0</v>
      </c>
      <c r="AK238" s="277">
        <f t="shared" si="387"/>
        <v>17469</v>
      </c>
      <c r="AL238" s="277">
        <f t="shared" si="387"/>
        <v>17469</v>
      </c>
      <c r="AM238" s="277">
        <f t="shared" si="387"/>
        <v>1000</v>
      </c>
      <c r="AN238" s="277">
        <f t="shared" si="387"/>
        <v>0</v>
      </c>
      <c r="AO238" s="277">
        <f t="shared" si="387"/>
        <v>17469</v>
      </c>
      <c r="AP238" s="277">
        <f t="shared" si="387"/>
        <v>17469</v>
      </c>
      <c r="AQ238" s="277">
        <f t="shared" si="387"/>
        <v>1000</v>
      </c>
      <c r="AR238" s="277">
        <f t="shared" si="387"/>
        <v>0</v>
      </c>
      <c r="AS238" s="277">
        <f t="shared" ref="AS238:AW238" si="388">SUM(AS239:AS246)</f>
        <v>46356</v>
      </c>
      <c r="AT238" s="277">
        <f t="shared" si="388"/>
        <v>42540</v>
      </c>
      <c r="AU238" s="277">
        <f t="shared" si="388"/>
        <v>42540</v>
      </c>
      <c r="AV238" s="277">
        <f t="shared" si="388"/>
        <v>40175</v>
      </c>
      <c r="AW238" s="277">
        <f t="shared" si="388"/>
        <v>26863</v>
      </c>
      <c r="AX238" s="277"/>
      <c r="AY238" s="277"/>
      <c r="AZ238" s="272"/>
      <c r="BA238" s="533"/>
    </row>
    <row r="239" spans="1:53" s="262" customFormat="1" ht="44.45" customHeight="1">
      <c r="A239" s="649">
        <v>1</v>
      </c>
      <c r="B239" s="307" t="s">
        <v>494</v>
      </c>
      <c r="C239" s="310" t="s">
        <v>495</v>
      </c>
      <c r="D239" s="310"/>
      <c r="E239" s="319" t="s">
        <v>822</v>
      </c>
      <c r="F239" s="310"/>
      <c r="G239" s="310" t="s">
        <v>496</v>
      </c>
      <c r="H239" s="310" t="s">
        <v>414</v>
      </c>
      <c r="I239" s="211" t="s">
        <v>497</v>
      </c>
      <c r="J239" s="212">
        <v>39992</v>
      </c>
      <c r="K239" s="295">
        <f>J239-35993</f>
        <v>3999</v>
      </c>
      <c r="L239" s="212">
        <v>7500</v>
      </c>
      <c r="M239" s="212"/>
      <c r="N239" s="295">
        <f>2808+933</f>
        <v>3741</v>
      </c>
      <c r="O239" s="295"/>
      <c r="P239" s="212">
        <f>L239+W239</f>
        <v>7500</v>
      </c>
      <c r="Q239" s="212">
        <f>M239+X239</f>
        <v>0</v>
      </c>
      <c r="R239" s="212">
        <f>27894+S239</f>
        <v>31493.1</v>
      </c>
      <c r="S239" s="212">
        <f>K239/100*90</f>
        <v>3599.1000000000004</v>
      </c>
      <c r="T239" s="212"/>
      <c r="U239" s="212"/>
      <c r="V239" s="212">
        <v>7000</v>
      </c>
      <c r="W239" s="212"/>
      <c r="X239" s="212"/>
      <c r="Y239" s="212"/>
      <c r="Z239" s="212"/>
      <c r="AA239" s="212">
        <v>7000</v>
      </c>
      <c r="AB239" s="212"/>
      <c r="AC239" s="212"/>
      <c r="AD239" s="212"/>
      <c r="AE239" s="212"/>
      <c r="AF239" s="212"/>
      <c r="AG239" s="212">
        <f>W239+AA239</f>
        <v>7000</v>
      </c>
      <c r="AH239" s="212">
        <f>X239+AB239</f>
        <v>0</v>
      </c>
      <c r="AI239" s="212"/>
      <c r="AJ239" s="212"/>
      <c r="AK239" s="212">
        <f>AO239</f>
        <v>1000</v>
      </c>
      <c r="AL239" s="212">
        <f>AP239</f>
        <v>1000</v>
      </c>
      <c r="AM239" s="212">
        <f>AQ239</f>
        <v>1000</v>
      </c>
      <c r="AN239" s="212">
        <f>AR239</f>
        <v>0</v>
      </c>
      <c r="AO239" s="212">
        <v>1000</v>
      </c>
      <c r="AP239" s="212">
        <f>AO239</f>
        <v>1000</v>
      </c>
      <c r="AQ239" s="212">
        <f>AP239</f>
        <v>1000</v>
      </c>
      <c r="AR239" s="212"/>
      <c r="AS239" s="212">
        <f t="shared" ref="AS239" si="389">V239+AP239</f>
        <v>8000</v>
      </c>
      <c r="AT239" s="212">
        <f t="shared" ref="AT239" si="390">AU239</f>
        <v>1000</v>
      </c>
      <c r="AU239" s="212">
        <f t="shared" ref="AU239" si="391">AH239+AP239</f>
        <v>1000</v>
      </c>
      <c r="AV239" s="212">
        <f>AW239+13312</f>
        <v>14312</v>
      </c>
      <c r="AW239" s="212">
        <v>1000</v>
      </c>
      <c r="AX239" s="212"/>
      <c r="AY239" s="212"/>
      <c r="AZ239" s="261"/>
      <c r="BA239" s="201"/>
    </row>
    <row r="240" spans="1:53" s="270" customFormat="1" ht="36.950000000000003" customHeight="1">
      <c r="A240" s="649">
        <v>2</v>
      </c>
      <c r="B240" s="271" t="s">
        <v>498</v>
      </c>
      <c r="C240" s="243" t="s">
        <v>492</v>
      </c>
      <c r="D240" s="243"/>
      <c r="E240" s="319" t="s">
        <v>822</v>
      </c>
      <c r="F240" s="243"/>
      <c r="G240" s="272"/>
      <c r="H240" s="310" t="s">
        <v>676</v>
      </c>
      <c r="I240" s="248" t="s">
        <v>499</v>
      </c>
      <c r="J240" s="212">
        <v>7320</v>
      </c>
      <c r="K240" s="212">
        <v>7320</v>
      </c>
      <c r="L240" s="212"/>
      <c r="M240" s="212"/>
      <c r="N240" s="212"/>
      <c r="O240" s="212"/>
      <c r="P240" s="212">
        <f t="shared" si="382"/>
        <v>98</v>
      </c>
      <c r="Q240" s="212">
        <f t="shared" si="383"/>
        <v>98</v>
      </c>
      <c r="R240" s="212">
        <f>S240</f>
        <v>7320</v>
      </c>
      <c r="S240" s="212">
        <v>7320</v>
      </c>
      <c r="T240" s="212"/>
      <c r="U240" s="212"/>
      <c r="V240" s="212">
        <f>98+2000</f>
        <v>2098</v>
      </c>
      <c r="W240" s="212">
        <v>98</v>
      </c>
      <c r="X240" s="212">
        <v>98</v>
      </c>
      <c r="Y240" s="212"/>
      <c r="Z240" s="212"/>
      <c r="AA240" s="212">
        <v>2000</v>
      </c>
      <c r="AB240" s="212">
        <v>2000</v>
      </c>
      <c r="AC240" s="212"/>
      <c r="AD240" s="212"/>
      <c r="AE240" s="212"/>
      <c r="AF240" s="212"/>
      <c r="AG240" s="212">
        <f t="shared" ref="AG240:AG289" si="392">W240+AA240</f>
        <v>2098</v>
      </c>
      <c r="AH240" s="212">
        <f t="shared" ref="AH240:AH289" si="393">X240+AB240</f>
        <v>2098</v>
      </c>
      <c r="AI240" s="212"/>
      <c r="AJ240" s="212"/>
      <c r="AK240" s="212">
        <f t="shared" si="329"/>
        <v>1600</v>
      </c>
      <c r="AL240" s="212">
        <f t="shared" si="330"/>
        <v>1600</v>
      </c>
      <c r="AM240" s="212">
        <f t="shared" si="331"/>
        <v>0</v>
      </c>
      <c r="AN240" s="212">
        <f t="shared" si="332"/>
        <v>0</v>
      </c>
      <c r="AO240" s="212">
        <f t="shared" ref="AO240:AO246" si="394">AP240</f>
        <v>1600</v>
      </c>
      <c r="AP240" s="212">
        <v>1600</v>
      </c>
      <c r="AQ240" s="212"/>
      <c r="AR240" s="212"/>
      <c r="AS240" s="212">
        <f t="shared" ref="AS240:AS245" si="395">V240+AP240</f>
        <v>3698</v>
      </c>
      <c r="AT240" s="212">
        <f t="shared" ref="AT240:AT246" si="396">AU240</f>
        <v>3698</v>
      </c>
      <c r="AU240" s="212">
        <f t="shared" ref="AU240:AU246" si="397">AH240+AP240</f>
        <v>3698</v>
      </c>
      <c r="AV240" s="212">
        <f t="shared" ref="AV240:AV246" si="398">AW240</f>
        <v>3300</v>
      </c>
      <c r="AW240" s="212">
        <v>3300</v>
      </c>
      <c r="AX240" s="212"/>
      <c r="AY240" s="212"/>
      <c r="AZ240" s="243" t="s">
        <v>783</v>
      </c>
      <c r="BA240" s="279"/>
    </row>
    <row r="241" spans="1:53" s="270" customFormat="1" ht="34.5" customHeight="1">
      <c r="A241" s="649">
        <v>3</v>
      </c>
      <c r="B241" s="271" t="s">
        <v>795</v>
      </c>
      <c r="C241" s="243" t="s">
        <v>492</v>
      </c>
      <c r="D241" s="243"/>
      <c r="E241" s="319" t="s">
        <v>822</v>
      </c>
      <c r="F241" s="243"/>
      <c r="G241" s="272"/>
      <c r="H241" s="310" t="s">
        <v>786</v>
      </c>
      <c r="I241" s="248" t="s">
        <v>500</v>
      </c>
      <c r="J241" s="273">
        <v>6728</v>
      </c>
      <c r="K241" s="273">
        <v>6728</v>
      </c>
      <c r="L241" s="212"/>
      <c r="M241" s="212"/>
      <c r="N241" s="212"/>
      <c r="O241" s="212"/>
      <c r="P241" s="212">
        <f t="shared" si="382"/>
        <v>104</v>
      </c>
      <c r="Q241" s="212">
        <f t="shared" si="383"/>
        <v>104</v>
      </c>
      <c r="R241" s="212">
        <f>S241</f>
        <v>6728</v>
      </c>
      <c r="S241" s="212">
        <v>6728</v>
      </c>
      <c r="T241" s="212"/>
      <c r="U241" s="212"/>
      <c r="V241" s="212">
        <f>104+2000</f>
        <v>2104</v>
      </c>
      <c r="W241" s="212">
        <v>104</v>
      </c>
      <c r="X241" s="212">
        <v>104</v>
      </c>
      <c r="Y241" s="212"/>
      <c r="Z241" s="212"/>
      <c r="AA241" s="212">
        <v>2000</v>
      </c>
      <c r="AB241" s="212">
        <v>2000</v>
      </c>
      <c r="AC241" s="212"/>
      <c r="AD241" s="212"/>
      <c r="AE241" s="212"/>
      <c r="AF241" s="212"/>
      <c r="AG241" s="212">
        <f t="shared" si="392"/>
        <v>2104</v>
      </c>
      <c r="AH241" s="212">
        <f t="shared" si="393"/>
        <v>2104</v>
      </c>
      <c r="AI241" s="212"/>
      <c r="AJ241" s="212"/>
      <c r="AK241" s="212">
        <f t="shared" si="329"/>
        <v>1900</v>
      </c>
      <c r="AL241" s="212">
        <f t="shared" si="330"/>
        <v>1900</v>
      </c>
      <c r="AM241" s="212">
        <f t="shared" si="331"/>
        <v>0</v>
      </c>
      <c r="AN241" s="212">
        <f t="shared" si="332"/>
        <v>0</v>
      </c>
      <c r="AO241" s="212">
        <f t="shared" si="394"/>
        <v>1900</v>
      </c>
      <c r="AP241" s="212">
        <v>1900</v>
      </c>
      <c r="AQ241" s="212"/>
      <c r="AR241" s="212"/>
      <c r="AS241" s="212">
        <f t="shared" si="395"/>
        <v>4004</v>
      </c>
      <c r="AT241" s="212">
        <f t="shared" si="396"/>
        <v>4004</v>
      </c>
      <c r="AU241" s="212">
        <f t="shared" si="397"/>
        <v>4004</v>
      </c>
      <c r="AV241" s="212">
        <f t="shared" si="398"/>
        <v>2050</v>
      </c>
      <c r="AW241" s="212">
        <v>2050</v>
      </c>
      <c r="AX241" s="212"/>
      <c r="AY241" s="212"/>
      <c r="AZ241" s="243" t="s">
        <v>783</v>
      </c>
      <c r="BA241" s="279"/>
    </row>
    <row r="242" spans="1:53" s="270" customFormat="1" ht="30.95" customHeight="1">
      <c r="A242" s="649">
        <v>4</v>
      </c>
      <c r="B242" s="271" t="s">
        <v>501</v>
      </c>
      <c r="C242" s="243" t="s">
        <v>492</v>
      </c>
      <c r="D242" s="243"/>
      <c r="E242" s="319" t="s">
        <v>822</v>
      </c>
      <c r="F242" s="243"/>
      <c r="G242" s="272"/>
      <c r="H242" s="272"/>
      <c r="I242" s="248" t="s">
        <v>502</v>
      </c>
      <c r="J242" s="212">
        <v>7000</v>
      </c>
      <c r="K242" s="212">
        <v>7000</v>
      </c>
      <c r="L242" s="212"/>
      <c r="M242" s="212"/>
      <c r="N242" s="212"/>
      <c r="O242" s="212"/>
      <c r="P242" s="212">
        <f t="shared" si="382"/>
        <v>91</v>
      </c>
      <c r="Q242" s="212">
        <f t="shared" si="383"/>
        <v>91</v>
      </c>
      <c r="R242" s="212">
        <v>6300</v>
      </c>
      <c r="S242" s="212">
        <v>6300</v>
      </c>
      <c r="T242" s="212"/>
      <c r="U242" s="212"/>
      <c r="V242" s="212">
        <f>91+2000</f>
        <v>2091</v>
      </c>
      <c r="W242" s="212">
        <v>91</v>
      </c>
      <c r="X242" s="212">
        <v>91</v>
      </c>
      <c r="Y242" s="212"/>
      <c r="Z242" s="212"/>
      <c r="AA242" s="212">
        <v>2000</v>
      </c>
      <c r="AB242" s="212">
        <v>2000</v>
      </c>
      <c r="AC242" s="212"/>
      <c r="AD242" s="212"/>
      <c r="AE242" s="212"/>
      <c r="AF242" s="212"/>
      <c r="AG242" s="212">
        <f t="shared" si="392"/>
        <v>2091</v>
      </c>
      <c r="AH242" s="212">
        <f t="shared" si="393"/>
        <v>2091</v>
      </c>
      <c r="AI242" s="212"/>
      <c r="AJ242" s="212"/>
      <c r="AK242" s="212">
        <f t="shared" si="329"/>
        <v>1500</v>
      </c>
      <c r="AL242" s="212">
        <f t="shared" si="330"/>
        <v>1500</v>
      </c>
      <c r="AM242" s="212">
        <f t="shared" si="331"/>
        <v>0</v>
      </c>
      <c r="AN242" s="212">
        <f t="shared" si="332"/>
        <v>0</v>
      </c>
      <c r="AO242" s="212">
        <f t="shared" si="394"/>
        <v>1500</v>
      </c>
      <c r="AP242" s="212">
        <v>1500</v>
      </c>
      <c r="AQ242" s="212"/>
      <c r="AR242" s="212"/>
      <c r="AS242" s="212">
        <f t="shared" si="395"/>
        <v>3591</v>
      </c>
      <c r="AT242" s="212">
        <f t="shared" si="396"/>
        <v>3591</v>
      </c>
      <c r="AU242" s="212">
        <f t="shared" si="397"/>
        <v>3591</v>
      </c>
      <c r="AV242" s="212">
        <f t="shared" si="398"/>
        <v>2700</v>
      </c>
      <c r="AW242" s="212">
        <v>2700</v>
      </c>
      <c r="AX242" s="212"/>
      <c r="AY242" s="212"/>
      <c r="AZ242" s="243" t="s">
        <v>783</v>
      </c>
      <c r="BA242" s="279"/>
    </row>
    <row r="243" spans="1:53" s="270" customFormat="1" ht="37.5" customHeight="1">
      <c r="A243" s="649">
        <v>5</v>
      </c>
      <c r="B243" s="271" t="s">
        <v>503</v>
      </c>
      <c r="C243" s="243" t="s">
        <v>492</v>
      </c>
      <c r="D243" s="243"/>
      <c r="E243" s="319" t="s">
        <v>822</v>
      </c>
      <c r="F243" s="243"/>
      <c r="G243" s="272"/>
      <c r="H243" s="272"/>
      <c r="I243" s="248" t="s">
        <v>504</v>
      </c>
      <c r="J243" s="212">
        <v>6350</v>
      </c>
      <c r="K243" s="212">
        <v>6350</v>
      </c>
      <c r="L243" s="212"/>
      <c r="M243" s="212"/>
      <c r="N243" s="212"/>
      <c r="O243" s="212"/>
      <c r="P243" s="212">
        <f t="shared" si="382"/>
        <v>91</v>
      </c>
      <c r="Q243" s="212">
        <f t="shared" si="383"/>
        <v>91</v>
      </c>
      <c r="R243" s="212">
        <f>S243</f>
        <v>6350</v>
      </c>
      <c r="S243" s="212">
        <v>6350</v>
      </c>
      <c r="T243" s="212"/>
      <c r="U243" s="212"/>
      <c r="V243" s="212">
        <f>91+2000</f>
        <v>2091</v>
      </c>
      <c r="W243" s="212">
        <v>91</v>
      </c>
      <c r="X243" s="212">
        <v>91</v>
      </c>
      <c r="Y243" s="212"/>
      <c r="Z243" s="212"/>
      <c r="AA243" s="273">
        <v>2000</v>
      </c>
      <c r="AB243" s="273">
        <v>2000</v>
      </c>
      <c r="AC243" s="212"/>
      <c r="AD243" s="212"/>
      <c r="AE243" s="212"/>
      <c r="AF243" s="212"/>
      <c r="AG243" s="212">
        <f t="shared" si="392"/>
        <v>2091</v>
      </c>
      <c r="AH243" s="212">
        <f t="shared" si="393"/>
        <v>2091</v>
      </c>
      <c r="AI243" s="212"/>
      <c r="AJ243" s="212"/>
      <c r="AK243" s="212">
        <f t="shared" si="329"/>
        <v>1350</v>
      </c>
      <c r="AL243" s="212">
        <f t="shared" si="330"/>
        <v>1350</v>
      </c>
      <c r="AM243" s="212">
        <f t="shared" si="331"/>
        <v>0</v>
      </c>
      <c r="AN243" s="212">
        <f t="shared" si="332"/>
        <v>0</v>
      </c>
      <c r="AO243" s="212">
        <f t="shared" si="394"/>
        <v>1350</v>
      </c>
      <c r="AP243" s="212">
        <v>1350</v>
      </c>
      <c r="AQ243" s="212"/>
      <c r="AR243" s="212"/>
      <c r="AS243" s="212">
        <f t="shared" si="395"/>
        <v>3441</v>
      </c>
      <c r="AT243" s="212">
        <f t="shared" si="396"/>
        <v>3441</v>
      </c>
      <c r="AU243" s="212">
        <f t="shared" si="397"/>
        <v>3441</v>
      </c>
      <c r="AV243" s="212">
        <f t="shared" si="398"/>
        <v>2900</v>
      </c>
      <c r="AW243" s="212">
        <v>2900</v>
      </c>
      <c r="AX243" s="212"/>
      <c r="AY243" s="212"/>
      <c r="AZ243" s="243" t="s">
        <v>783</v>
      </c>
      <c r="BA243" s="279"/>
    </row>
    <row r="244" spans="1:53" s="262" customFormat="1" ht="35.450000000000003" customHeight="1">
      <c r="A244" s="649">
        <v>6</v>
      </c>
      <c r="B244" s="271" t="s">
        <v>505</v>
      </c>
      <c r="C244" s="243" t="s">
        <v>492</v>
      </c>
      <c r="D244" s="243"/>
      <c r="E244" s="319" t="s">
        <v>822</v>
      </c>
      <c r="F244" s="243"/>
      <c r="G244" s="243"/>
      <c r="H244" s="243"/>
      <c r="I244" s="211" t="s">
        <v>506</v>
      </c>
      <c r="J244" s="212">
        <v>7000</v>
      </c>
      <c r="K244" s="212">
        <v>7000</v>
      </c>
      <c r="L244" s="212"/>
      <c r="M244" s="212"/>
      <c r="N244" s="212"/>
      <c r="O244" s="212"/>
      <c r="P244" s="212">
        <f t="shared" si="382"/>
        <v>0</v>
      </c>
      <c r="Q244" s="212">
        <f t="shared" si="383"/>
        <v>0</v>
      </c>
      <c r="R244" s="212">
        <f>S244</f>
        <v>7000</v>
      </c>
      <c r="S244" s="212">
        <v>7000</v>
      </c>
      <c r="T244" s="212"/>
      <c r="U244" s="212"/>
      <c r="V244" s="212">
        <v>2000</v>
      </c>
      <c r="W244" s="212"/>
      <c r="X244" s="212"/>
      <c r="Y244" s="212"/>
      <c r="Z244" s="212"/>
      <c r="AA244" s="273">
        <v>2000</v>
      </c>
      <c r="AB244" s="273">
        <v>2000</v>
      </c>
      <c r="AC244" s="212"/>
      <c r="AD244" s="212"/>
      <c r="AE244" s="212"/>
      <c r="AF244" s="212"/>
      <c r="AG244" s="212">
        <f>W244+AA244+1000</f>
        <v>3000</v>
      </c>
      <c r="AH244" s="212">
        <f>X244+AB244+1000</f>
        <v>3000</v>
      </c>
      <c r="AI244" s="212"/>
      <c r="AJ244" s="212"/>
      <c r="AK244" s="212">
        <f t="shared" si="329"/>
        <v>2000</v>
      </c>
      <c r="AL244" s="212">
        <f t="shared" si="330"/>
        <v>2000</v>
      </c>
      <c r="AM244" s="212">
        <f t="shared" si="331"/>
        <v>0</v>
      </c>
      <c r="AN244" s="212">
        <f t="shared" si="332"/>
        <v>0</v>
      </c>
      <c r="AO244" s="212">
        <f t="shared" si="394"/>
        <v>2000</v>
      </c>
      <c r="AP244" s="212">
        <v>2000</v>
      </c>
      <c r="AQ244" s="212"/>
      <c r="AR244" s="212"/>
      <c r="AS244" s="212">
        <f t="shared" si="395"/>
        <v>4000</v>
      </c>
      <c r="AT244" s="212">
        <f t="shared" si="396"/>
        <v>5000</v>
      </c>
      <c r="AU244" s="212">
        <f t="shared" si="397"/>
        <v>5000</v>
      </c>
      <c r="AV244" s="212">
        <f t="shared" si="398"/>
        <v>2000</v>
      </c>
      <c r="AW244" s="212">
        <f>S244-AU244</f>
        <v>2000</v>
      </c>
      <c r="AX244" s="212"/>
      <c r="AY244" s="212"/>
      <c r="AZ244" s="243" t="s">
        <v>783</v>
      </c>
      <c r="BA244" s="201"/>
    </row>
    <row r="245" spans="1:53" s="270" customFormat="1" ht="60" customHeight="1">
      <c r="A245" s="649">
        <v>7</v>
      </c>
      <c r="B245" s="288" t="s">
        <v>507</v>
      </c>
      <c r="C245" s="243" t="s">
        <v>492</v>
      </c>
      <c r="D245" s="243"/>
      <c r="E245" s="319" t="s">
        <v>822</v>
      </c>
      <c r="F245" s="243"/>
      <c r="G245" s="272"/>
      <c r="H245" s="272"/>
      <c r="I245" s="211" t="s">
        <v>508</v>
      </c>
      <c r="J245" s="212">
        <v>10000</v>
      </c>
      <c r="K245" s="212">
        <v>10000</v>
      </c>
      <c r="L245" s="212"/>
      <c r="M245" s="212"/>
      <c r="N245" s="212"/>
      <c r="O245" s="212"/>
      <c r="P245" s="212">
        <f t="shared" si="382"/>
        <v>130</v>
      </c>
      <c r="Q245" s="212">
        <f t="shared" si="383"/>
        <v>130</v>
      </c>
      <c r="R245" s="212">
        <f>S245</f>
        <v>10000</v>
      </c>
      <c r="S245" s="212">
        <v>10000</v>
      </c>
      <c r="T245" s="212"/>
      <c r="U245" s="212"/>
      <c r="V245" s="212">
        <f>1996+130</f>
        <v>2126</v>
      </c>
      <c r="W245" s="212">
        <v>130</v>
      </c>
      <c r="X245" s="212">
        <v>130</v>
      </c>
      <c r="Y245" s="212"/>
      <c r="Z245" s="212"/>
      <c r="AA245" s="212">
        <v>3000</v>
      </c>
      <c r="AB245" s="212">
        <v>3000</v>
      </c>
      <c r="AC245" s="212"/>
      <c r="AD245" s="212"/>
      <c r="AE245" s="273">
        <v>250.435</v>
      </c>
      <c r="AF245" s="273">
        <v>250.435</v>
      </c>
      <c r="AG245" s="212">
        <f t="shared" si="392"/>
        <v>3130</v>
      </c>
      <c r="AH245" s="212">
        <f t="shared" si="393"/>
        <v>3130</v>
      </c>
      <c r="AI245" s="212"/>
      <c r="AJ245" s="212"/>
      <c r="AK245" s="212">
        <f t="shared" si="329"/>
        <v>2500</v>
      </c>
      <c r="AL245" s="212">
        <f t="shared" si="330"/>
        <v>2500</v>
      </c>
      <c r="AM245" s="212">
        <f t="shared" si="331"/>
        <v>0</v>
      </c>
      <c r="AN245" s="212">
        <f t="shared" si="332"/>
        <v>0</v>
      </c>
      <c r="AO245" s="212">
        <f t="shared" si="394"/>
        <v>2500</v>
      </c>
      <c r="AP245" s="212">
        <v>2500</v>
      </c>
      <c r="AQ245" s="212"/>
      <c r="AR245" s="212"/>
      <c r="AS245" s="212">
        <f t="shared" si="395"/>
        <v>4626</v>
      </c>
      <c r="AT245" s="212">
        <f t="shared" si="396"/>
        <v>5630</v>
      </c>
      <c r="AU245" s="212">
        <f t="shared" si="397"/>
        <v>5630</v>
      </c>
      <c r="AV245" s="212">
        <f t="shared" si="398"/>
        <v>2000</v>
      </c>
      <c r="AW245" s="212">
        <v>2000</v>
      </c>
      <c r="AX245" s="212"/>
      <c r="AY245" s="212"/>
      <c r="AZ245" s="243"/>
      <c r="BA245" s="279"/>
    </row>
    <row r="246" spans="1:53" s="270" customFormat="1" ht="40.5" customHeight="1">
      <c r="A246" s="649">
        <v>8</v>
      </c>
      <c r="B246" s="288" t="s">
        <v>509</v>
      </c>
      <c r="C246" s="243" t="s">
        <v>492</v>
      </c>
      <c r="D246" s="243"/>
      <c r="E246" s="319" t="s">
        <v>822</v>
      </c>
      <c r="F246" s="243"/>
      <c r="G246" s="272"/>
      <c r="H246" s="243" t="s">
        <v>676</v>
      </c>
      <c r="I246" s="211" t="s">
        <v>510</v>
      </c>
      <c r="J246" s="212">
        <v>32330</v>
      </c>
      <c r="K246" s="212">
        <v>32330</v>
      </c>
      <c r="L246" s="212"/>
      <c r="M246" s="212"/>
      <c r="N246" s="212"/>
      <c r="O246" s="212"/>
      <c r="P246" s="212">
        <f t="shared" si="382"/>
        <v>455</v>
      </c>
      <c r="Q246" s="212">
        <f t="shared" si="383"/>
        <v>455</v>
      </c>
      <c r="R246" s="212">
        <v>29097</v>
      </c>
      <c r="S246" s="212">
        <v>29097</v>
      </c>
      <c r="T246" s="212"/>
      <c r="U246" s="212"/>
      <c r="V246" s="212">
        <f>455+8922</f>
        <v>9377</v>
      </c>
      <c r="W246" s="212">
        <v>455</v>
      </c>
      <c r="X246" s="212">
        <v>455</v>
      </c>
      <c r="Y246" s="212"/>
      <c r="Z246" s="212"/>
      <c r="AA246" s="212">
        <v>8922</v>
      </c>
      <c r="AB246" s="212">
        <v>8922</v>
      </c>
      <c r="AC246" s="212"/>
      <c r="AD246" s="212"/>
      <c r="AE246" s="273">
        <v>1137</v>
      </c>
      <c r="AF246" s="273">
        <v>8922</v>
      </c>
      <c r="AG246" s="212">
        <f>W246+AA246+1180</f>
        <v>10557</v>
      </c>
      <c r="AH246" s="212">
        <f>X246+AB246+1180</f>
        <v>10557</v>
      </c>
      <c r="AI246" s="212"/>
      <c r="AJ246" s="212"/>
      <c r="AK246" s="212">
        <f t="shared" si="329"/>
        <v>5619</v>
      </c>
      <c r="AL246" s="212">
        <f t="shared" si="330"/>
        <v>5619</v>
      </c>
      <c r="AM246" s="212">
        <f t="shared" si="331"/>
        <v>0</v>
      </c>
      <c r="AN246" s="212">
        <f t="shared" si="332"/>
        <v>0</v>
      </c>
      <c r="AO246" s="212">
        <f t="shared" si="394"/>
        <v>5619</v>
      </c>
      <c r="AP246" s="212">
        <v>5619</v>
      </c>
      <c r="AQ246" s="212"/>
      <c r="AR246" s="212"/>
      <c r="AS246" s="212">
        <f>V246+AP246</f>
        <v>14996</v>
      </c>
      <c r="AT246" s="212">
        <f t="shared" si="396"/>
        <v>16176</v>
      </c>
      <c r="AU246" s="212">
        <f t="shared" si="397"/>
        <v>16176</v>
      </c>
      <c r="AV246" s="212">
        <f t="shared" si="398"/>
        <v>10913</v>
      </c>
      <c r="AW246" s="212">
        <v>10913</v>
      </c>
      <c r="AX246" s="212"/>
      <c r="AY246" s="212"/>
      <c r="AZ246" s="243"/>
      <c r="BA246" s="279"/>
    </row>
    <row r="247" spans="1:53" s="251" customFormat="1" ht="38.25" customHeight="1">
      <c r="A247" s="227" t="s">
        <v>278</v>
      </c>
      <c r="B247" s="234" t="s">
        <v>902</v>
      </c>
      <c r="C247" s="229"/>
      <c r="D247" s="229"/>
      <c r="E247" s="229"/>
      <c r="F247" s="229"/>
      <c r="G247" s="229"/>
      <c r="H247" s="229"/>
      <c r="I247" s="217"/>
      <c r="J247" s="215">
        <f>J248</f>
        <v>10000</v>
      </c>
      <c r="K247" s="215">
        <f t="shared" ref="K247:AW247" si="399">K248</f>
        <v>10000</v>
      </c>
      <c r="L247" s="215">
        <f t="shared" si="399"/>
        <v>0</v>
      </c>
      <c r="M247" s="215">
        <f t="shared" si="399"/>
        <v>0</v>
      </c>
      <c r="N247" s="215">
        <f t="shared" si="399"/>
        <v>0</v>
      </c>
      <c r="O247" s="215">
        <f t="shared" si="399"/>
        <v>0</v>
      </c>
      <c r="P247" s="215">
        <f t="shared" si="399"/>
        <v>0</v>
      </c>
      <c r="Q247" s="215">
        <f t="shared" si="399"/>
        <v>0</v>
      </c>
      <c r="R247" s="215">
        <f t="shared" si="399"/>
        <v>10000</v>
      </c>
      <c r="S247" s="215">
        <f t="shared" si="399"/>
        <v>10000</v>
      </c>
      <c r="T247" s="215">
        <f t="shared" si="399"/>
        <v>0</v>
      </c>
      <c r="U247" s="215">
        <f t="shared" si="399"/>
        <v>0</v>
      </c>
      <c r="V247" s="215">
        <f t="shared" si="399"/>
        <v>0</v>
      </c>
      <c r="W247" s="215">
        <f t="shared" si="399"/>
        <v>0</v>
      </c>
      <c r="X247" s="215">
        <f t="shared" si="399"/>
        <v>0</v>
      </c>
      <c r="Y247" s="215">
        <f t="shared" si="399"/>
        <v>0</v>
      </c>
      <c r="Z247" s="215">
        <f t="shared" si="399"/>
        <v>0</v>
      </c>
      <c r="AA247" s="215">
        <f t="shared" si="399"/>
        <v>150</v>
      </c>
      <c r="AB247" s="215">
        <f t="shared" si="399"/>
        <v>150</v>
      </c>
      <c r="AC247" s="215">
        <f t="shared" si="399"/>
        <v>0</v>
      </c>
      <c r="AD247" s="215">
        <f t="shared" si="399"/>
        <v>0</v>
      </c>
      <c r="AE247" s="215">
        <f t="shared" si="399"/>
        <v>0</v>
      </c>
      <c r="AF247" s="215">
        <f t="shared" si="399"/>
        <v>0</v>
      </c>
      <c r="AG247" s="215">
        <f t="shared" si="399"/>
        <v>150</v>
      </c>
      <c r="AH247" s="215">
        <f t="shared" si="399"/>
        <v>150</v>
      </c>
      <c r="AI247" s="215"/>
      <c r="AJ247" s="215"/>
      <c r="AK247" s="215">
        <f t="shared" si="399"/>
        <v>2000</v>
      </c>
      <c r="AL247" s="215">
        <f t="shared" si="399"/>
        <v>2000</v>
      </c>
      <c r="AM247" s="215">
        <f t="shared" si="399"/>
        <v>0</v>
      </c>
      <c r="AN247" s="215">
        <f t="shared" si="399"/>
        <v>0</v>
      </c>
      <c r="AO247" s="215">
        <f t="shared" si="399"/>
        <v>2000</v>
      </c>
      <c r="AP247" s="215">
        <f t="shared" si="399"/>
        <v>2000</v>
      </c>
      <c r="AQ247" s="215">
        <f t="shared" si="399"/>
        <v>0</v>
      </c>
      <c r="AR247" s="215">
        <f t="shared" si="399"/>
        <v>0</v>
      </c>
      <c r="AS247" s="215">
        <f t="shared" si="399"/>
        <v>2000</v>
      </c>
      <c r="AT247" s="215">
        <f t="shared" si="399"/>
        <v>2150</v>
      </c>
      <c r="AU247" s="215">
        <f t="shared" si="399"/>
        <v>2150</v>
      </c>
      <c r="AV247" s="215">
        <f t="shared" si="399"/>
        <v>2000</v>
      </c>
      <c r="AW247" s="215">
        <f t="shared" si="399"/>
        <v>2000</v>
      </c>
      <c r="AX247" s="215"/>
      <c r="AY247" s="215"/>
      <c r="AZ247" s="229"/>
      <c r="BA247" s="232"/>
    </row>
    <row r="248" spans="1:53" s="262" customFormat="1" ht="36.950000000000003" customHeight="1">
      <c r="A248" s="649">
        <v>9</v>
      </c>
      <c r="B248" s="271" t="s">
        <v>511</v>
      </c>
      <c r="C248" s="243" t="s">
        <v>492</v>
      </c>
      <c r="D248" s="243"/>
      <c r="E248" s="243" t="s">
        <v>1046</v>
      </c>
      <c r="F248" s="243"/>
      <c r="G248" s="243"/>
      <c r="H248" s="243" t="s">
        <v>367</v>
      </c>
      <c r="I248" s="507" t="s">
        <v>1045</v>
      </c>
      <c r="J248" s="336">
        <f>K248</f>
        <v>10000</v>
      </c>
      <c r="K248" s="336">
        <v>10000</v>
      </c>
      <c r="L248" s="212"/>
      <c r="M248" s="212"/>
      <c r="N248" s="212"/>
      <c r="O248" s="212"/>
      <c r="P248" s="212">
        <f t="shared" ref="P248" si="400">L248+W248</f>
        <v>0</v>
      </c>
      <c r="Q248" s="212">
        <f t="shared" ref="Q248" si="401">M248+X248</f>
        <v>0</v>
      </c>
      <c r="R248" s="212">
        <v>10000</v>
      </c>
      <c r="S248" s="212">
        <v>10000</v>
      </c>
      <c r="T248" s="212"/>
      <c r="U248" s="212"/>
      <c r="V248" s="212"/>
      <c r="W248" s="212"/>
      <c r="X248" s="212"/>
      <c r="Y248" s="212"/>
      <c r="Z248" s="212"/>
      <c r="AA248" s="212">
        <v>150</v>
      </c>
      <c r="AB248" s="212">
        <v>150</v>
      </c>
      <c r="AC248" s="212"/>
      <c r="AD248" s="212"/>
      <c r="AE248" s="212"/>
      <c r="AF248" s="212"/>
      <c r="AG248" s="212">
        <f t="shared" ref="AG248" si="402">W248+AA248</f>
        <v>150</v>
      </c>
      <c r="AH248" s="212">
        <f t="shared" ref="AH248" si="403">X248+AB248</f>
        <v>150</v>
      </c>
      <c r="AI248" s="212"/>
      <c r="AJ248" s="212"/>
      <c r="AK248" s="212">
        <f t="shared" ref="AK248" si="404">AO248</f>
        <v>2000</v>
      </c>
      <c r="AL248" s="212">
        <f t="shared" ref="AL248" si="405">AP248</f>
        <v>2000</v>
      </c>
      <c r="AM248" s="212">
        <f t="shared" ref="AM248" si="406">AQ248</f>
        <v>0</v>
      </c>
      <c r="AN248" s="212">
        <f t="shared" ref="AN248" si="407">AR248</f>
        <v>0</v>
      </c>
      <c r="AO248" s="212">
        <f>AP248</f>
        <v>2000</v>
      </c>
      <c r="AP248" s="212">
        <v>2000</v>
      </c>
      <c r="AQ248" s="212"/>
      <c r="AR248" s="212"/>
      <c r="AS248" s="212">
        <f t="shared" ref="AS248" si="408">V248+AP248</f>
        <v>2000</v>
      </c>
      <c r="AT248" s="212">
        <f t="shared" ref="AT248" si="409">AU248</f>
        <v>2150</v>
      </c>
      <c r="AU248" s="212">
        <f t="shared" ref="AU248" si="410">AH248+AP248</f>
        <v>2150</v>
      </c>
      <c r="AV248" s="212">
        <f t="shared" ref="AV248" si="411">AW248</f>
        <v>2000</v>
      </c>
      <c r="AW248" s="212">
        <v>2000</v>
      </c>
      <c r="AX248" s="212"/>
      <c r="AY248" s="212"/>
      <c r="AZ248" s="261"/>
      <c r="BA248" s="201">
        <f>AW248</f>
        <v>2000</v>
      </c>
    </row>
    <row r="249" spans="1:53" s="257" customFormat="1" ht="33.75" customHeight="1">
      <c r="A249" s="287" t="s">
        <v>279</v>
      </c>
      <c r="B249" s="236" t="s">
        <v>901</v>
      </c>
      <c r="C249" s="311"/>
      <c r="D249" s="311"/>
      <c r="E249" s="311"/>
      <c r="F249" s="311"/>
      <c r="G249" s="311"/>
      <c r="H249" s="311"/>
      <c r="I249" s="256"/>
      <c r="J249" s="300">
        <f>+J251+J252</f>
        <v>11050</v>
      </c>
      <c r="K249" s="300">
        <f t="shared" ref="K249:AW249" si="412">+K251+K252</f>
        <v>11050</v>
      </c>
      <c r="L249" s="300">
        <f t="shared" si="412"/>
        <v>0</v>
      </c>
      <c r="M249" s="300">
        <f t="shared" si="412"/>
        <v>0</v>
      </c>
      <c r="N249" s="300">
        <f t="shared" si="412"/>
        <v>0</v>
      </c>
      <c r="O249" s="300">
        <f t="shared" si="412"/>
        <v>0</v>
      </c>
      <c r="P249" s="300">
        <f t="shared" si="412"/>
        <v>0</v>
      </c>
      <c r="Q249" s="300">
        <f t="shared" si="412"/>
        <v>0</v>
      </c>
      <c r="R249" s="300">
        <f t="shared" si="412"/>
        <v>11050</v>
      </c>
      <c r="S249" s="300">
        <f t="shared" si="412"/>
        <v>11050</v>
      </c>
      <c r="T249" s="300">
        <f t="shared" si="412"/>
        <v>0</v>
      </c>
      <c r="U249" s="300">
        <f t="shared" si="412"/>
        <v>0</v>
      </c>
      <c r="V249" s="300">
        <f t="shared" si="412"/>
        <v>0</v>
      </c>
      <c r="W249" s="300">
        <f t="shared" si="412"/>
        <v>0</v>
      </c>
      <c r="X249" s="300">
        <f t="shared" si="412"/>
        <v>0</v>
      </c>
      <c r="Y249" s="300">
        <f t="shared" si="412"/>
        <v>0</v>
      </c>
      <c r="Z249" s="300">
        <f t="shared" si="412"/>
        <v>0</v>
      </c>
      <c r="AA249" s="300">
        <f t="shared" si="412"/>
        <v>0</v>
      </c>
      <c r="AB249" s="300">
        <f t="shared" si="412"/>
        <v>0</v>
      </c>
      <c r="AC249" s="300">
        <f t="shared" si="412"/>
        <v>0</v>
      </c>
      <c r="AD249" s="300">
        <f t="shared" si="412"/>
        <v>0</v>
      </c>
      <c r="AE249" s="300">
        <f t="shared" si="412"/>
        <v>0</v>
      </c>
      <c r="AF249" s="300">
        <f t="shared" si="412"/>
        <v>0</v>
      </c>
      <c r="AG249" s="300">
        <f t="shared" si="412"/>
        <v>0</v>
      </c>
      <c r="AH249" s="300">
        <f t="shared" si="412"/>
        <v>0</v>
      </c>
      <c r="AI249" s="300">
        <f t="shared" si="412"/>
        <v>0</v>
      </c>
      <c r="AJ249" s="300">
        <f t="shared" si="412"/>
        <v>0</v>
      </c>
      <c r="AK249" s="300">
        <f t="shared" si="412"/>
        <v>100</v>
      </c>
      <c r="AL249" s="300">
        <f t="shared" si="412"/>
        <v>100</v>
      </c>
      <c r="AM249" s="300">
        <f t="shared" si="412"/>
        <v>0</v>
      </c>
      <c r="AN249" s="300">
        <f t="shared" si="412"/>
        <v>0</v>
      </c>
      <c r="AO249" s="300">
        <f t="shared" si="412"/>
        <v>100</v>
      </c>
      <c r="AP249" s="300">
        <f t="shared" si="412"/>
        <v>100</v>
      </c>
      <c r="AQ249" s="300">
        <f t="shared" si="412"/>
        <v>0</v>
      </c>
      <c r="AR249" s="300">
        <f t="shared" si="412"/>
        <v>0</v>
      </c>
      <c r="AS249" s="300">
        <f t="shared" si="412"/>
        <v>100</v>
      </c>
      <c r="AT249" s="300">
        <f t="shared" si="412"/>
        <v>100</v>
      </c>
      <c r="AU249" s="300">
        <f t="shared" si="412"/>
        <v>100</v>
      </c>
      <c r="AV249" s="300">
        <f t="shared" si="412"/>
        <v>4000</v>
      </c>
      <c r="AW249" s="300">
        <f t="shared" si="412"/>
        <v>4000</v>
      </c>
      <c r="AX249" s="300"/>
      <c r="AY249" s="300"/>
      <c r="AZ249" s="255"/>
      <c r="BA249" s="533"/>
    </row>
    <row r="250" spans="1:53" s="257" customFormat="1" ht="24.75" customHeight="1">
      <c r="A250" s="287" t="s">
        <v>35</v>
      </c>
      <c r="B250" s="236" t="s">
        <v>45</v>
      </c>
      <c r="C250" s="311"/>
      <c r="D250" s="311"/>
      <c r="E250" s="311"/>
      <c r="F250" s="311"/>
      <c r="G250" s="311"/>
      <c r="H250" s="311"/>
      <c r="I250" s="256"/>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255"/>
      <c r="BA250" s="533"/>
    </row>
    <row r="251" spans="1:53" s="262" customFormat="1" ht="39" customHeight="1">
      <c r="A251" s="649">
        <v>1</v>
      </c>
      <c r="B251" s="318" t="s">
        <v>853</v>
      </c>
      <c r="C251" s="243" t="s">
        <v>492</v>
      </c>
      <c r="D251" s="243"/>
      <c r="E251" s="319" t="s">
        <v>1023</v>
      </c>
      <c r="F251" s="243"/>
      <c r="G251" s="243"/>
      <c r="H251" s="243" t="s">
        <v>367</v>
      </c>
      <c r="I251" s="507" t="s">
        <v>1028</v>
      </c>
      <c r="J251" s="354">
        <v>6000</v>
      </c>
      <c r="K251" s="354">
        <v>6000</v>
      </c>
      <c r="L251" s="212"/>
      <c r="M251" s="212"/>
      <c r="N251" s="212"/>
      <c r="O251" s="212"/>
      <c r="P251" s="212">
        <f>L251+W251</f>
        <v>0</v>
      </c>
      <c r="Q251" s="212">
        <f>M251+X251</f>
        <v>0</v>
      </c>
      <c r="R251" s="212">
        <v>6000</v>
      </c>
      <c r="S251" s="212">
        <v>6000</v>
      </c>
      <c r="T251" s="212"/>
      <c r="U251" s="212"/>
      <c r="V251" s="212"/>
      <c r="W251" s="212"/>
      <c r="X251" s="212"/>
      <c r="Y251" s="212"/>
      <c r="Z251" s="212"/>
      <c r="AA251" s="212"/>
      <c r="AB251" s="212"/>
      <c r="AC251" s="212"/>
      <c r="AD251" s="212"/>
      <c r="AE251" s="212"/>
      <c r="AF251" s="212"/>
      <c r="AG251" s="212">
        <f>W251+AA251</f>
        <v>0</v>
      </c>
      <c r="AH251" s="212">
        <f>X251+AB251</f>
        <v>0</v>
      </c>
      <c r="AI251" s="212"/>
      <c r="AJ251" s="212"/>
      <c r="AK251" s="212">
        <f>AO251</f>
        <v>50</v>
      </c>
      <c r="AL251" s="212">
        <f>AP251</f>
        <v>50</v>
      </c>
      <c r="AM251" s="212">
        <f>AQ251</f>
        <v>0</v>
      </c>
      <c r="AN251" s="212">
        <f>AR251</f>
        <v>0</v>
      </c>
      <c r="AO251" s="212">
        <v>50</v>
      </c>
      <c r="AP251" s="212">
        <f>AO251</f>
        <v>50</v>
      </c>
      <c r="AQ251" s="212"/>
      <c r="AR251" s="212"/>
      <c r="AS251" s="212">
        <v>50</v>
      </c>
      <c r="AT251" s="212">
        <f>+AU251</f>
        <v>50</v>
      </c>
      <c r="AU251" s="212">
        <v>50</v>
      </c>
      <c r="AV251" s="212">
        <f>+AW251</f>
        <v>2000</v>
      </c>
      <c r="AW251" s="212">
        <v>2000</v>
      </c>
      <c r="AX251" s="212"/>
      <c r="AY251" s="212"/>
      <c r="AZ251" s="261" t="s">
        <v>907</v>
      </c>
      <c r="BA251" s="201">
        <f>+AW251</f>
        <v>2000</v>
      </c>
    </row>
    <row r="252" spans="1:53" s="270" customFormat="1" ht="39" customHeight="1">
      <c r="A252" s="209">
        <v>2</v>
      </c>
      <c r="B252" s="318" t="s">
        <v>512</v>
      </c>
      <c r="C252" s="243" t="s">
        <v>492</v>
      </c>
      <c r="D252" s="243"/>
      <c r="E252" s="319" t="s">
        <v>822</v>
      </c>
      <c r="F252" s="243"/>
      <c r="G252" s="272"/>
      <c r="H252" s="243" t="s">
        <v>380</v>
      </c>
      <c r="I252" s="506" t="s">
        <v>988</v>
      </c>
      <c r="J252" s="212">
        <f>+K252</f>
        <v>5050</v>
      </c>
      <c r="K252" s="212">
        <v>5050</v>
      </c>
      <c r="L252" s="212"/>
      <c r="M252" s="212"/>
      <c r="N252" s="212"/>
      <c r="O252" s="212"/>
      <c r="P252" s="212">
        <f t="shared" si="382"/>
        <v>0</v>
      </c>
      <c r="Q252" s="212">
        <f t="shared" si="383"/>
        <v>0</v>
      </c>
      <c r="R252" s="273">
        <f>+S252</f>
        <v>5050</v>
      </c>
      <c r="S252" s="273">
        <v>5050</v>
      </c>
      <c r="T252" s="212"/>
      <c r="U252" s="212"/>
      <c r="V252" s="212"/>
      <c r="W252" s="212"/>
      <c r="X252" s="212"/>
      <c r="Y252" s="212"/>
      <c r="Z252" s="212"/>
      <c r="AA252" s="212"/>
      <c r="AB252" s="212"/>
      <c r="AC252" s="212"/>
      <c r="AD252" s="212"/>
      <c r="AE252" s="212"/>
      <c r="AF252" s="212"/>
      <c r="AG252" s="212">
        <f t="shared" si="392"/>
        <v>0</v>
      </c>
      <c r="AH252" s="212">
        <f t="shared" si="393"/>
        <v>0</v>
      </c>
      <c r="AI252" s="212"/>
      <c r="AJ252" s="212"/>
      <c r="AK252" s="212">
        <f t="shared" si="329"/>
        <v>50</v>
      </c>
      <c r="AL252" s="212">
        <f t="shared" si="330"/>
        <v>50</v>
      </c>
      <c r="AM252" s="212">
        <f t="shared" si="331"/>
        <v>0</v>
      </c>
      <c r="AN252" s="212">
        <f t="shared" si="332"/>
        <v>0</v>
      </c>
      <c r="AO252" s="212">
        <v>50</v>
      </c>
      <c r="AP252" s="212">
        <f>AO252</f>
        <v>50</v>
      </c>
      <c r="AQ252" s="212"/>
      <c r="AR252" s="212"/>
      <c r="AS252" s="212">
        <v>50</v>
      </c>
      <c r="AT252" s="212">
        <f>+AU252</f>
        <v>50</v>
      </c>
      <c r="AU252" s="212">
        <v>50</v>
      </c>
      <c r="AV252" s="212">
        <f>+AW252</f>
        <v>2000</v>
      </c>
      <c r="AW252" s="212">
        <v>2000</v>
      </c>
      <c r="AX252" s="212"/>
      <c r="AY252" s="212"/>
      <c r="AZ252" s="261" t="s">
        <v>907</v>
      </c>
      <c r="BA252" s="279"/>
    </row>
    <row r="253" spans="1:53" s="533" customFormat="1" ht="29.25" customHeight="1">
      <c r="A253" s="209"/>
      <c r="B253" s="318"/>
      <c r="C253" s="243"/>
      <c r="D253" s="243"/>
      <c r="E253" s="243"/>
      <c r="F253" s="243"/>
      <c r="G253" s="255"/>
      <c r="H253" s="255"/>
      <c r="I253" s="248"/>
      <c r="J253" s="212"/>
      <c r="K253" s="212"/>
      <c r="L253" s="212"/>
      <c r="M253" s="212"/>
      <c r="N253" s="212"/>
      <c r="O253" s="212"/>
      <c r="P253" s="212"/>
      <c r="Q253" s="212"/>
      <c r="R253" s="273"/>
      <c r="S253" s="273"/>
      <c r="T253" s="212"/>
      <c r="U253" s="212"/>
      <c r="V253" s="212"/>
      <c r="W253" s="212"/>
      <c r="X253" s="212"/>
      <c r="Y253" s="212"/>
      <c r="Z253" s="212"/>
      <c r="AA253" s="212"/>
      <c r="AB253" s="212"/>
      <c r="AC253" s="212"/>
      <c r="AD253" s="212"/>
      <c r="AE253" s="212"/>
      <c r="AF253" s="212"/>
      <c r="AG253" s="215"/>
      <c r="AH253" s="215"/>
      <c r="AI253" s="215"/>
      <c r="AJ253" s="215"/>
      <c r="AK253" s="215"/>
      <c r="AL253" s="215"/>
      <c r="AM253" s="215"/>
      <c r="AN253" s="215"/>
      <c r="AO253" s="212"/>
      <c r="AP253" s="212"/>
      <c r="AQ253" s="212"/>
      <c r="AR253" s="212"/>
      <c r="AS253" s="212"/>
      <c r="AT253" s="212"/>
      <c r="AU253" s="212"/>
      <c r="AV253" s="212"/>
      <c r="AW253" s="212"/>
      <c r="AX253" s="212"/>
      <c r="AY253" s="212"/>
      <c r="AZ253" s="328"/>
    </row>
    <row r="254" spans="1:53" s="232" customFormat="1" ht="90" hidden="1">
      <c r="A254" s="649">
        <v>11</v>
      </c>
      <c r="B254" s="271" t="s">
        <v>513</v>
      </c>
      <c r="C254" s="243" t="s">
        <v>492</v>
      </c>
      <c r="D254" s="243"/>
      <c r="E254" s="243"/>
      <c r="F254" s="243"/>
      <c r="G254" s="229"/>
      <c r="H254" s="229"/>
      <c r="I254" s="231"/>
      <c r="J254" s="212"/>
      <c r="K254" s="212"/>
      <c r="L254" s="212"/>
      <c r="M254" s="212"/>
      <c r="N254" s="212"/>
      <c r="O254" s="212"/>
      <c r="P254" s="212">
        <f t="shared" si="382"/>
        <v>0</v>
      </c>
      <c r="Q254" s="212">
        <f t="shared" si="383"/>
        <v>0</v>
      </c>
      <c r="R254" s="212">
        <v>15000</v>
      </c>
      <c r="S254" s="212">
        <v>15000</v>
      </c>
      <c r="T254" s="212"/>
      <c r="U254" s="212"/>
      <c r="V254" s="212"/>
      <c r="W254" s="212"/>
      <c r="X254" s="212"/>
      <c r="Y254" s="212"/>
      <c r="Z254" s="212"/>
      <c r="AA254" s="212"/>
      <c r="AB254" s="212"/>
      <c r="AC254" s="212"/>
      <c r="AD254" s="212"/>
      <c r="AE254" s="212"/>
      <c r="AF254" s="212"/>
      <c r="AG254" s="215">
        <f t="shared" si="392"/>
        <v>0</v>
      </c>
      <c r="AH254" s="215">
        <f t="shared" si="393"/>
        <v>0</v>
      </c>
      <c r="AI254" s="215"/>
      <c r="AJ254" s="215"/>
      <c r="AK254" s="215">
        <f t="shared" si="329"/>
        <v>0</v>
      </c>
      <c r="AL254" s="215">
        <f t="shared" si="330"/>
        <v>0</v>
      </c>
      <c r="AM254" s="215">
        <f t="shared" si="331"/>
        <v>0</v>
      </c>
      <c r="AN254" s="215">
        <f t="shared" si="332"/>
        <v>0</v>
      </c>
      <c r="AO254" s="212"/>
      <c r="AP254" s="212"/>
      <c r="AQ254" s="212"/>
      <c r="AR254" s="212"/>
      <c r="AS254" s="212"/>
      <c r="AT254" s="212"/>
      <c r="AU254" s="212"/>
      <c r="AV254" s="212"/>
      <c r="AW254" s="212"/>
      <c r="AX254" s="212"/>
      <c r="AY254" s="212"/>
      <c r="AZ254" s="328" t="s">
        <v>514</v>
      </c>
    </row>
    <row r="255" spans="1:53" s="232" customFormat="1" ht="14.1" hidden="1" customHeight="1">
      <c r="A255" s="209">
        <v>12</v>
      </c>
      <c r="B255" s="271" t="s">
        <v>515</v>
      </c>
      <c r="C255" s="243" t="s">
        <v>492</v>
      </c>
      <c r="D255" s="243"/>
      <c r="E255" s="243"/>
      <c r="F255" s="243"/>
      <c r="G255" s="229"/>
      <c r="H255" s="229"/>
      <c r="I255" s="231"/>
      <c r="J255" s="212"/>
      <c r="K255" s="212"/>
      <c r="L255" s="212"/>
      <c r="M255" s="212"/>
      <c r="N255" s="212"/>
      <c r="O255" s="212"/>
      <c r="P255" s="212">
        <f t="shared" si="382"/>
        <v>0</v>
      </c>
      <c r="Q255" s="212">
        <f t="shared" si="383"/>
        <v>0</v>
      </c>
      <c r="R255" s="212">
        <v>3000</v>
      </c>
      <c r="S255" s="212">
        <v>3000</v>
      </c>
      <c r="T255" s="212"/>
      <c r="U255" s="212"/>
      <c r="V255" s="212"/>
      <c r="W255" s="212"/>
      <c r="X255" s="212"/>
      <c r="Y255" s="212"/>
      <c r="Z255" s="212"/>
      <c r="AA255" s="212"/>
      <c r="AB255" s="212"/>
      <c r="AC255" s="212"/>
      <c r="AD255" s="212"/>
      <c r="AE255" s="212"/>
      <c r="AF255" s="212"/>
      <c r="AG255" s="215">
        <f t="shared" si="392"/>
        <v>0</v>
      </c>
      <c r="AH255" s="215">
        <f t="shared" si="393"/>
        <v>0</v>
      </c>
      <c r="AI255" s="215"/>
      <c r="AJ255" s="215"/>
      <c r="AK255" s="215">
        <f t="shared" si="329"/>
        <v>0</v>
      </c>
      <c r="AL255" s="215">
        <f t="shared" si="330"/>
        <v>0</v>
      </c>
      <c r="AM255" s="215">
        <f t="shared" si="331"/>
        <v>0</v>
      </c>
      <c r="AN255" s="215">
        <f t="shared" si="332"/>
        <v>0</v>
      </c>
      <c r="AO255" s="212"/>
      <c r="AP255" s="212"/>
      <c r="AQ255" s="212"/>
      <c r="AR255" s="212"/>
      <c r="AS255" s="212"/>
      <c r="AT255" s="212"/>
      <c r="AU255" s="212"/>
      <c r="AV255" s="212"/>
      <c r="AW255" s="212"/>
      <c r="AX255" s="212"/>
      <c r="AY255" s="212"/>
      <c r="AZ255" s="243"/>
    </row>
    <row r="256" spans="1:53" s="232" customFormat="1" ht="14.1" hidden="1" customHeight="1">
      <c r="A256" s="209">
        <v>14</v>
      </c>
      <c r="B256" s="271" t="s">
        <v>516</v>
      </c>
      <c r="C256" s="243" t="s">
        <v>492</v>
      </c>
      <c r="D256" s="243"/>
      <c r="E256" s="243"/>
      <c r="F256" s="243"/>
      <c r="G256" s="229"/>
      <c r="H256" s="229"/>
      <c r="I256" s="231"/>
      <c r="J256" s="212"/>
      <c r="K256" s="212"/>
      <c r="L256" s="212"/>
      <c r="M256" s="212"/>
      <c r="N256" s="212"/>
      <c r="O256" s="212"/>
      <c r="P256" s="212">
        <f t="shared" si="382"/>
        <v>0</v>
      </c>
      <c r="Q256" s="212">
        <f t="shared" si="383"/>
        <v>0</v>
      </c>
      <c r="R256" s="212">
        <v>5000</v>
      </c>
      <c r="S256" s="212">
        <v>5000</v>
      </c>
      <c r="T256" s="212"/>
      <c r="U256" s="212"/>
      <c r="V256" s="212"/>
      <c r="W256" s="212"/>
      <c r="X256" s="212"/>
      <c r="Y256" s="212"/>
      <c r="Z256" s="212"/>
      <c r="AA256" s="212"/>
      <c r="AB256" s="212"/>
      <c r="AC256" s="212"/>
      <c r="AD256" s="212"/>
      <c r="AE256" s="212"/>
      <c r="AF256" s="212"/>
      <c r="AG256" s="215">
        <f t="shared" si="392"/>
        <v>0</v>
      </c>
      <c r="AH256" s="215">
        <f t="shared" si="393"/>
        <v>0</v>
      </c>
      <c r="AI256" s="215"/>
      <c r="AJ256" s="215"/>
      <c r="AK256" s="215">
        <f t="shared" si="329"/>
        <v>0</v>
      </c>
      <c r="AL256" s="215">
        <f t="shared" si="330"/>
        <v>0</v>
      </c>
      <c r="AM256" s="215">
        <f t="shared" si="331"/>
        <v>0</v>
      </c>
      <c r="AN256" s="215">
        <f t="shared" si="332"/>
        <v>0</v>
      </c>
      <c r="AO256" s="212"/>
      <c r="AP256" s="212"/>
      <c r="AQ256" s="212"/>
      <c r="AR256" s="212"/>
      <c r="AS256" s="212"/>
      <c r="AT256" s="212"/>
      <c r="AU256" s="212"/>
      <c r="AV256" s="212"/>
      <c r="AW256" s="212"/>
      <c r="AX256" s="212"/>
      <c r="AY256" s="212"/>
      <c r="AZ256" s="243"/>
    </row>
    <row r="257" spans="1:53" s="232" customFormat="1" ht="14.1" hidden="1" customHeight="1">
      <c r="A257" s="258"/>
      <c r="B257" s="271"/>
      <c r="C257" s="260"/>
      <c r="D257" s="260"/>
      <c r="E257" s="260"/>
      <c r="F257" s="260"/>
      <c r="G257" s="229"/>
      <c r="H257" s="229"/>
      <c r="I257" s="231"/>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5"/>
      <c r="AH257" s="215"/>
      <c r="AI257" s="215"/>
      <c r="AJ257" s="215"/>
      <c r="AK257" s="215"/>
      <c r="AL257" s="215"/>
      <c r="AM257" s="215"/>
      <c r="AN257" s="215"/>
      <c r="AO257" s="212"/>
      <c r="AP257" s="212"/>
      <c r="AQ257" s="212"/>
      <c r="AR257" s="212"/>
      <c r="AS257" s="212"/>
      <c r="AT257" s="212"/>
      <c r="AU257" s="212"/>
      <c r="AV257" s="212"/>
      <c r="AW257" s="212"/>
      <c r="AX257" s="212"/>
      <c r="AY257" s="212"/>
      <c r="AZ257" s="243"/>
    </row>
    <row r="258" spans="1:53" s="232" customFormat="1" ht="21.75" customHeight="1">
      <c r="A258" s="275"/>
      <c r="B258" s="228" t="s">
        <v>327</v>
      </c>
      <c r="C258" s="229"/>
      <c r="D258" s="229"/>
      <c r="E258" s="229"/>
      <c r="F258" s="229"/>
      <c r="G258" s="229"/>
      <c r="H258" s="229"/>
      <c r="I258" s="231"/>
      <c r="J258" s="215"/>
      <c r="K258" s="215"/>
      <c r="L258" s="215"/>
      <c r="M258" s="215"/>
      <c r="N258" s="215"/>
      <c r="O258" s="215"/>
      <c r="P258" s="212"/>
      <c r="Q258" s="212"/>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15"/>
      <c r="AM258" s="215"/>
      <c r="AN258" s="215"/>
      <c r="AO258" s="215"/>
      <c r="AP258" s="215">
        <v>31842.165818416459</v>
      </c>
      <c r="AQ258" s="215"/>
      <c r="AR258" s="215"/>
      <c r="AS258" s="215"/>
      <c r="AT258" s="215"/>
      <c r="AU258" s="215"/>
      <c r="AV258" s="215"/>
      <c r="AW258" s="215">
        <v>37643</v>
      </c>
      <c r="AX258" s="215"/>
      <c r="AY258" s="215"/>
      <c r="AZ258" s="329"/>
    </row>
    <row r="259" spans="1:53" s="251" customFormat="1" ht="32.450000000000003" customHeight="1">
      <c r="A259" s="252" t="s">
        <v>517</v>
      </c>
      <c r="B259" s="253" t="s">
        <v>518</v>
      </c>
      <c r="C259" s="229"/>
      <c r="D259" s="229"/>
      <c r="E259" s="229"/>
      <c r="F259" s="229"/>
      <c r="G259" s="235"/>
      <c r="H259" s="229"/>
      <c r="I259" s="231"/>
      <c r="J259" s="215">
        <f t="shared" ref="J259:AW259" si="413">J260+J264+J268+J274</f>
        <v>516300</v>
      </c>
      <c r="K259" s="215">
        <f t="shared" si="413"/>
        <v>147000</v>
      </c>
      <c r="L259" s="215">
        <f t="shared" si="413"/>
        <v>0</v>
      </c>
      <c r="M259" s="215">
        <f t="shared" si="413"/>
        <v>0</v>
      </c>
      <c r="N259" s="215">
        <f t="shared" si="413"/>
        <v>0</v>
      </c>
      <c r="O259" s="215">
        <f t="shared" si="413"/>
        <v>0</v>
      </c>
      <c r="P259" s="215">
        <f t="shared" si="413"/>
        <v>754</v>
      </c>
      <c r="Q259" s="215">
        <f t="shared" si="413"/>
        <v>754</v>
      </c>
      <c r="R259" s="215">
        <f t="shared" si="413"/>
        <v>138485</v>
      </c>
      <c r="S259" s="215">
        <f t="shared" si="413"/>
        <v>126204</v>
      </c>
      <c r="T259" s="215">
        <f t="shared" si="413"/>
        <v>0</v>
      </c>
      <c r="U259" s="215">
        <f t="shared" si="413"/>
        <v>0</v>
      </c>
      <c r="V259" s="215">
        <f t="shared" si="413"/>
        <v>317888</v>
      </c>
      <c r="W259" s="215">
        <f t="shared" si="413"/>
        <v>754</v>
      </c>
      <c r="X259" s="215">
        <f t="shared" si="413"/>
        <v>754</v>
      </c>
      <c r="Y259" s="215">
        <f t="shared" si="413"/>
        <v>0</v>
      </c>
      <c r="Z259" s="215">
        <f t="shared" si="413"/>
        <v>0</v>
      </c>
      <c r="AA259" s="215">
        <f t="shared" si="413"/>
        <v>7808</v>
      </c>
      <c r="AB259" s="215">
        <f t="shared" si="413"/>
        <v>7808</v>
      </c>
      <c r="AC259" s="215">
        <f t="shared" si="413"/>
        <v>0</v>
      </c>
      <c r="AD259" s="215">
        <f t="shared" si="413"/>
        <v>0</v>
      </c>
      <c r="AE259" s="215">
        <f t="shared" si="413"/>
        <v>13.504</v>
      </c>
      <c r="AF259" s="215">
        <f t="shared" si="413"/>
        <v>2200</v>
      </c>
      <c r="AG259" s="215">
        <f t="shared" si="413"/>
        <v>8562</v>
      </c>
      <c r="AH259" s="215">
        <f t="shared" si="413"/>
        <v>8562</v>
      </c>
      <c r="AI259" s="215">
        <f t="shared" si="413"/>
        <v>0</v>
      </c>
      <c r="AJ259" s="215">
        <f t="shared" si="413"/>
        <v>0</v>
      </c>
      <c r="AK259" s="215">
        <f t="shared" si="413"/>
        <v>105100</v>
      </c>
      <c r="AL259" s="215">
        <f t="shared" si="413"/>
        <v>105100</v>
      </c>
      <c r="AM259" s="215">
        <f t="shared" si="413"/>
        <v>0</v>
      </c>
      <c r="AN259" s="215">
        <f t="shared" si="413"/>
        <v>0</v>
      </c>
      <c r="AO259" s="215">
        <f t="shared" si="413"/>
        <v>21747</v>
      </c>
      <c r="AP259" s="215">
        <f t="shared" si="413"/>
        <v>21747</v>
      </c>
      <c r="AQ259" s="215">
        <f t="shared" si="413"/>
        <v>0</v>
      </c>
      <c r="AR259" s="215">
        <f t="shared" si="413"/>
        <v>0</v>
      </c>
      <c r="AS259" s="215">
        <f t="shared" si="413"/>
        <v>348216</v>
      </c>
      <c r="AT259" s="215">
        <f t="shared" si="413"/>
        <v>31409</v>
      </c>
      <c r="AU259" s="215">
        <f t="shared" si="413"/>
        <v>30209</v>
      </c>
      <c r="AV259" s="215">
        <f t="shared" si="413"/>
        <v>37643</v>
      </c>
      <c r="AW259" s="215">
        <f t="shared" si="413"/>
        <v>37643</v>
      </c>
      <c r="AX259" s="215"/>
      <c r="AY259" s="215"/>
      <c r="AZ259" s="265"/>
      <c r="BA259" s="232"/>
    </row>
    <row r="260" spans="1:53" s="251" customFormat="1" ht="33.6" customHeight="1">
      <c r="A260" s="227" t="s">
        <v>33</v>
      </c>
      <c r="B260" s="234" t="s">
        <v>1029</v>
      </c>
      <c r="C260" s="229"/>
      <c r="D260" s="229"/>
      <c r="E260" s="229"/>
      <c r="F260" s="229"/>
      <c r="G260" s="229"/>
      <c r="H260" s="229"/>
      <c r="I260" s="231"/>
      <c r="J260" s="242">
        <f>J261</f>
        <v>452800</v>
      </c>
      <c r="K260" s="242">
        <f t="shared" ref="K260:AW260" si="414">K261</f>
        <v>83500</v>
      </c>
      <c r="L260" s="242">
        <f t="shared" si="414"/>
        <v>0</v>
      </c>
      <c r="M260" s="242">
        <f t="shared" si="414"/>
        <v>0</v>
      </c>
      <c r="N260" s="242">
        <f t="shared" si="414"/>
        <v>0</v>
      </c>
      <c r="O260" s="242">
        <f t="shared" si="414"/>
        <v>0</v>
      </c>
      <c r="P260" s="242">
        <f t="shared" si="414"/>
        <v>0</v>
      </c>
      <c r="Q260" s="242">
        <f t="shared" si="414"/>
        <v>0</v>
      </c>
      <c r="R260" s="242">
        <f t="shared" si="414"/>
        <v>47500</v>
      </c>
      <c r="S260" s="242">
        <f t="shared" si="414"/>
        <v>35219</v>
      </c>
      <c r="T260" s="242">
        <f t="shared" si="414"/>
        <v>0</v>
      </c>
      <c r="U260" s="242">
        <f t="shared" si="414"/>
        <v>0</v>
      </c>
      <c r="V260" s="242">
        <f t="shared" si="414"/>
        <v>310000</v>
      </c>
      <c r="W260" s="242">
        <f t="shared" si="414"/>
        <v>0</v>
      </c>
      <c r="X260" s="242">
        <f t="shared" si="414"/>
        <v>0</v>
      </c>
      <c r="Y260" s="242">
        <f t="shared" si="414"/>
        <v>0</v>
      </c>
      <c r="Z260" s="242">
        <f t="shared" si="414"/>
        <v>0</v>
      </c>
      <c r="AA260" s="242">
        <f t="shared" si="414"/>
        <v>0</v>
      </c>
      <c r="AB260" s="242">
        <f t="shared" si="414"/>
        <v>0</v>
      </c>
      <c r="AC260" s="242">
        <f t="shared" si="414"/>
        <v>0</v>
      </c>
      <c r="AD260" s="242">
        <f t="shared" si="414"/>
        <v>0</v>
      </c>
      <c r="AE260" s="242">
        <f t="shared" si="414"/>
        <v>0</v>
      </c>
      <c r="AF260" s="242">
        <f t="shared" si="414"/>
        <v>0</v>
      </c>
      <c r="AG260" s="242">
        <f t="shared" si="414"/>
        <v>0</v>
      </c>
      <c r="AH260" s="242">
        <f t="shared" si="414"/>
        <v>0</v>
      </c>
      <c r="AI260" s="242"/>
      <c r="AJ260" s="242"/>
      <c r="AK260" s="242">
        <f t="shared" si="414"/>
        <v>84908</v>
      </c>
      <c r="AL260" s="242">
        <f t="shared" si="414"/>
        <v>84908</v>
      </c>
      <c r="AM260" s="242">
        <f t="shared" si="414"/>
        <v>0</v>
      </c>
      <c r="AN260" s="242">
        <f t="shared" si="414"/>
        <v>0</v>
      </c>
      <c r="AO260" s="242">
        <f t="shared" si="414"/>
        <v>6000</v>
      </c>
      <c r="AP260" s="242">
        <f t="shared" si="414"/>
        <v>6000</v>
      </c>
      <c r="AQ260" s="242">
        <f t="shared" si="414"/>
        <v>0</v>
      </c>
      <c r="AR260" s="242">
        <f t="shared" si="414"/>
        <v>0</v>
      </c>
      <c r="AS260" s="242">
        <f t="shared" si="414"/>
        <v>324681</v>
      </c>
      <c r="AT260" s="242">
        <f t="shared" si="414"/>
        <v>7200</v>
      </c>
      <c r="AU260" s="242">
        <f t="shared" si="414"/>
        <v>6000</v>
      </c>
      <c r="AV260" s="242">
        <f t="shared" si="414"/>
        <v>12000</v>
      </c>
      <c r="AW260" s="242">
        <f t="shared" si="414"/>
        <v>12000</v>
      </c>
      <c r="AX260" s="242"/>
      <c r="AY260" s="242"/>
      <c r="AZ260" s="265"/>
      <c r="BA260" s="232"/>
    </row>
    <row r="261" spans="1:53" s="251" customFormat="1" ht="37.5" customHeight="1">
      <c r="A261" s="275" t="s">
        <v>35</v>
      </c>
      <c r="B261" s="236" t="s">
        <v>43</v>
      </c>
      <c r="C261" s="229"/>
      <c r="D261" s="229"/>
      <c r="E261" s="229"/>
      <c r="F261" s="229"/>
      <c r="G261" s="229"/>
      <c r="H261" s="229"/>
      <c r="I261" s="231"/>
      <c r="J261" s="242">
        <f>J262+J263</f>
        <v>452800</v>
      </c>
      <c r="K261" s="242">
        <f t="shared" ref="K261:AW261" si="415">K262+K263</f>
        <v>83500</v>
      </c>
      <c r="L261" s="242">
        <f t="shared" si="415"/>
        <v>0</v>
      </c>
      <c r="M261" s="242">
        <f t="shared" si="415"/>
        <v>0</v>
      </c>
      <c r="N261" s="242">
        <f t="shared" si="415"/>
        <v>0</v>
      </c>
      <c r="O261" s="242">
        <f t="shared" si="415"/>
        <v>0</v>
      </c>
      <c r="P261" s="242">
        <f t="shared" si="415"/>
        <v>0</v>
      </c>
      <c r="Q261" s="242">
        <f t="shared" si="415"/>
        <v>0</v>
      </c>
      <c r="R261" s="242">
        <f t="shared" si="415"/>
        <v>47500</v>
      </c>
      <c r="S261" s="242">
        <f t="shared" si="415"/>
        <v>35219</v>
      </c>
      <c r="T261" s="242">
        <f t="shared" si="415"/>
        <v>0</v>
      </c>
      <c r="U261" s="242">
        <f t="shared" si="415"/>
        <v>0</v>
      </c>
      <c r="V261" s="242">
        <f t="shared" si="415"/>
        <v>310000</v>
      </c>
      <c r="W261" s="242">
        <f t="shared" si="415"/>
        <v>0</v>
      </c>
      <c r="X261" s="242">
        <f t="shared" si="415"/>
        <v>0</v>
      </c>
      <c r="Y261" s="242">
        <f t="shared" si="415"/>
        <v>0</v>
      </c>
      <c r="Z261" s="242">
        <f t="shared" si="415"/>
        <v>0</v>
      </c>
      <c r="AA261" s="242">
        <f t="shared" si="415"/>
        <v>0</v>
      </c>
      <c r="AB261" s="242">
        <f t="shared" si="415"/>
        <v>0</v>
      </c>
      <c r="AC261" s="242">
        <f t="shared" si="415"/>
        <v>0</v>
      </c>
      <c r="AD261" s="242">
        <f t="shared" si="415"/>
        <v>0</v>
      </c>
      <c r="AE261" s="242">
        <f t="shared" si="415"/>
        <v>0</v>
      </c>
      <c r="AF261" s="242">
        <f t="shared" si="415"/>
        <v>0</v>
      </c>
      <c r="AG261" s="242">
        <f t="shared" si="415"/>
        <v>0</v>
      </c>
      <c r="AH261" s="242">
        <f t="shared" si="415"/>
        <v>0</v>
      </c>
      <c r="AI261" s="242">
        <f t="shared" si="415"/>
        <v>0</v>
      </c>
      <c r="AJ261" s="242">
        <f t="shared" si="415"/>
        <v>0</v>
      </c>
      <c r="AK261" s="242">
        <f t="shared" si="415"/>
        <v>84908</v>
      </c>
      <c r="AL261" s="242">
        <f t="shared" si="415"/>
        <v>84908</v>
      </c>
      <c r="AM261" s="242">
        <f t="shared" si="415"/>
        <v>0</v>
      </c>
      <c r="AN261" s="242">
        <f t="shared" si="415"/>
        <v>0</v>
      </c>
      <c r="AO261" s="242">
        <f t="shared" si="415"/>
        <v>6000</v>
      </c>
      <c r="AP261" s="242">
        <f t="shared" si="415"/>
        <v>6000</v>
      </c>
      <c r="AQ261" s="242">
        <f t="shared" si="415"/>
        <v>0</v>
      </c>
      <c r="AR261" s="242">
        <f t="shared" si="415"/>
        <v>0</v>
      </c>
      <c r="AS261" s="242">
        <f t="shared" si="415"/>
        <v>324681</v>
      </c>
      <c r="AT261" s="242">
        <f t="shared" si="415"/>
        <v>7200</v>
      </c>
      <c r="AU261" s="242">
        <f t="shared" si="415"/>
        <v>6000</v>
      </c>
      <c r="AV261" s="242">
        <f t="shared" si="415"/>
        <v>12000</v>
      </c>
      <c r="AW261" s="242">
        <f t="shared" si="415"/>
        <v>12000</v>
      </c>
      <c r="AX261" s="242"/>
      <c r="AY261" s="242"/>
      <c r="AZ261" s="265"/>
      <c r="BA261" s="232"/>
    </row>
    <row r="262" spans="1:53" s="251" customFormat="1" ht="67.5" customHeight="1">
      <c r="A262" s="310">
        <v>1</v>
      </c>
      <c r="B262" s="308" t="s">
        <v>658</v>
      </c>
      <c r="C262" s="552" t="s">
        <v>448</v>
      </c>
      <c r="D262" s="353"/>
      <c r="E262" s="552" t="s">
        <v>829</v>
      </c>
      <c r="F262" s="353"/>
      <c r="G262" s="326" t="s">
        <v>659</v>
      </c>
      <c r="H262" s="553" t="s">
        <v>660</v>
      </c>
      <c r="I262" s="475" t="s">
        <v>869</v>
      </c>
      <c r="J262" s="554">
        <v>439300</v>
      </c>
      <c r="K262" s="554">
        <v>70000</v>
      </c>
      <c r="L262" s="242"/>
      <c r="M262" s="242"/>
      <c r="N262" s="242"/>
      <c r="O262" s="242"/>
      <c r="P262" s="212"/>
      <c r="Q262" s="212"/>
      <c r="R262" s="212">
        <f>S262</f>
        <v>34000</v>
      </c>
      <c r="S262" s="212">
        <v>34000</v>
      </c>
      <c r="T262" s="215"/>
      <c r="U262" s="215"/>
      <c r="V262" s="212">
        <v>310000</v>
      </c>
      <c r="W262" s="242"/>
      <c r="X262" s="242"/>
      <c r="Y262" s="242"/>
      <c r="Z262" s="242"/>
      <c r="AA262" s="242"/>
      <c r="AB262" s="242"/>
      <c r="AC262" s="242"/>
      <c r="AD262" s="242"/>
      <c r="AE262" s="242"/>
      <c r="AF262" s="242"/>
      <c r="AG262" s="212"/>
      <c r="AH262" s="212"/>
      <c r="AI262" s="212"/>
      <c r="AJ262" s="212"/>
      <c r="AK262" s="212">
        <v>84908</v>
      </c>
      <c r="AL262" s="212">
        <f>AK262</f>
        <v>84908</v>
      </c>
      <c r="AM262" s="215"/>
      <c r="AN262" s="215"/>
      <c r="AO262" s="273">
        <f>AP262</f>
        <v>6000</v>
      </c>
      <c r="AP262" s="273">
        <v>6000</v>
      </c>
      <c r="AQ262" s="242"/>
      <c r="AR262" s="242"/>
      <c r="AS262" s="212">
        <f t="shared" ref="AS262" si="416">V262+AP262</f>
        <v>316000</v>
      </c>
      <c r="AT262" s="212">
        <f t="shared" ref="AT262" si="417">AU262</f>
        <v>6000</v>
      </c>
      <c r="AU262" s="212">
        <f t="shared" ref="AU262" si="418">AH262+AP262</f>
        <v>6000</v>
      </c>
      <c r="AV262" s="212">
        <f t="shared" ref="AV262" si="419">AW262</f>
        <v>11000</v>
      </c>
      <c r="AW262" s="212">
        <v>11000</v>
      </c>
      <c r="AX262" s="242"/>
      <c r="AY262" s="242"/>
      <c r="AZ262" s="299" t="s">
        <v>880</v>
      </c>
      <c r="BA262" s="232"/>
    </row>
    <row r="263" spans="1:53" s="251" customFormat="1" ht="37.5" customHeight="1">
      <c r="A263" s="310">
        <v>2</v>
      </c>
      <c r="B263" s="510" t="s">
        <v>881</v>
      </c>
      <c r="C263" s="243" t="s">
        <v>448</v>
      </c>
      <c r="D263" s="353"/>
      <c r="E263" s="552" t="s">
        <v>813</v>
      </c>
      <c r="F263" s="353"/>
      <c r="G263" s="326"/>
      <c r="H263" s="553"/>
      <c r="I263" s="507" t="s">
        <v>884</v>
      </c>
      <c r="J263" s="492">
        <f>+K263</f>
        <v>13500</v>
      </c>
      <c r="K263" s="492">
        <v>13500</v>
      </c>
      <c r="L263" s="242"/>
      <c r="M263" s="242"/>
      <c r="N263" s="242"/>
      <c r="O263" s="242"/>
      <c r="P263" s="212"/>
      <c r="Q263" s="212"/>
      <c r="R263" s="212">
        <v>13500</v>
      </c>
      <c r="S263" s="212">
        <v>1219</v>
      </c>
      <c r="T263" s="215"/>
      <c r="U263" s="215"/>
      <c r="V263" s="212"/>
      <c r="W263" s="242"/>
      <c r="X263" s="242"/>
      <c r="Y263" s="242"/>
      <c r="Z263" s="242"/>
      <c r="AA263" s="242"/>
      <c r="AB263" s="242"/>
      <c r="AC263" s="242"/>
      <c r="AD263" s="242"/>
      <c r="AE263" s="242"/>
      <c r="AF263" s="242"/>
      <c r="AG263" s="212"/>
      <c r="AH263" s="212"/>
      <c r="AI263" s="212"/>
      <c r="AJ263" s="212"/>
      <c r="AK263" s="212"/>
      <c r="AL263" s="212"/>
      <c r="AM263" s="215"/>
      <c r="AN263" s="215"/>
      <c r="AO263" s="273"/>
      <c r="AP263" s="273"/>
      <c r="AQ263" s="242"/>
      <c r="AR263" s="242"/>
      <c r="AS263" s="212">
        <f>7281+1400</f>
        <v>8681</v>
      </c>
      <c r="AT263" s="212">
        <v>1200</v>
      </c>
      <c r="AU263" s="212"/>
      <c r="AV263" s="212">
        <f>+AW263</f>
        <v>1000</v>
      </c>
      <c r="AW263" s="212">
        <v>1000</v>
      </c>
      <c r="AX263" s="242"/>
      <c r="AY263" s="242"/>
      <c r="AZ263" s="299" t="s">
        <v>1039</v>
      </c>
      <c r="BA263" s="232"/>
    </row>
    <row r="264" spans="1:53" s="251" customFormat="1" ht="37.5" customHeight="1">
      <c r="A264" s="227" t="s">
        <v>46</v>
      </c>
      <c r="B264" s="234" t="s">
        <v>897</v>
      </c>
      <c r="C264" s="229"/>
      <c r="D264" s="229"/>
      <c r="E264" s="229"/>
      <c r="F264" s="229"/>
      <c r="G264" s="229"/>
      <c r="H264" s="229"/>
      <c r="I264" s="231"/>
      <c r="J264" s="215">
        <f>J265</f>
        <v>18000</v>
      </c>
      <c r="K264" s="215">
        <f t="shared" ref="K264:AW264" si="420">K265</f>
        <v>18000</v>
      </c>
      <c r="L264" s="215">
        <f t="shared" si="420"/>
        <v>0</v>
      </c>
      <c r="M264" s="215">
        <f t="shared" si="420"/>
        <v>0</v>
      </c>
      <c r="N264" s="215">
        <f t="shared" si="420"/>
        <v>0</v>
      </c>
      <c r="O264" s="215">
        <f t="shared" si="420"/>
        <v>0</v>
      </c>
      <c r="P264" s="215">
        <f t="shared" si="420"/>
        <v>234</v>
      </c>
      <c r="Q264" s="215">
        <f t="shared" si="420"/>
        <v>234</v>
      </c>
      <c r="R264" s="215">
        <f t="shared" si="420"/>
        <v>18000</v>
      </c>
      <c r="S264" s="215">
        <f t="shared" si="420"/>
        <v>18000</v>
      </c>
      <c r="T264" s="215">
        <f t="shared" si="420"/>
        <v>0</v>
      </c>
      <c r="U264" s="215">
        <f t="shared" si="420"/>
        <v>0</v>
      </c>
      <c r="V264" s="215">
        <f t="shared" si="420"/>
        <v>6743</v>
      </c>
      <c r="W264" s="215">
        <f t="shared" si="420"/>
        <v>234</v>
      </c>
      <c r="X264" s="215">
        <f t="shared" si="420"/>
        <v>234</v>
      </c>
      <c r="Y264" s="215">
        <f t="shared" si="420"/>
        <v>0</v>
      </c>
      <c r="Z264" s="215">
        <f t="shared" si="420"/>
        <v>0</v>
      </c>
      <c r="AA264" s="215">
        <f t="shared" si="420"/>
        <v>6613</v>
      </c>
      <c r="AB264" s="215">
        <f t="shared" si="420"/>
        <v>6613</v>
      </c>
      <c r="AC264" s="215">
        <f t="shared" si="420"/>
        <v>0</v>
      </c>
      <c r="AD264" s="215">
        <f t="shared" si="420"/>
        <v>0</v>
      </c>
      <c r="AE264" s="215">
        <f t="shared" si="420"/>
        <v>13.504</v>
      </c>
      <c r="AF264" s="215">
        <f t="shared" si="420"/>
        <v>2200</v>
      </c>
      <c r="AG264" s="215">
        <f t="shared" si="420"/>
        <v>6847</v>
      </c>
      <c r="AH264" s="215">
        <f t="shared" si="420"/>
        <v>6847</v>
      </c>
      <c r="AI264" s="215"/>
      <c r="AJ264" s="215"/>
      <c r="AK264" s="215">
        <f t="shared" si="420"/>
        <v>6347</v>
      </c>
      <c r="AL264" s="215">
        <f t="shared" si="420"/>
        <v>6347</v>
      </c>
      <c r="AM264" s="215">
        <f t="shared" si="420"/>
        <v>0</v>
      </c>
      <c r="AN264" s="215">
        <f t="shared" si="420"/>
        <v>0</v>
      </c>
      <c r="AO264" s="215">
        <f t="shared" si="420"/>
        <v>6347</v>
      </c>
      <c r="AP264" s="215">
        <f t="shared" si="420"/>
        <v>6347</v>
      </c>
      <c r="AQ264" s="215">
        <f t="shared" si="420"/>
        <v>0</v>
      </c>
      <c r="AR264" s="215">
        <f t="shared" si="420"/>
        <v>0</v>
      </c>
      <c r="AS264" s="215">
        <f t="shared" si="420"/>
        <v>13090</v>
      </c>
      <c r="AT264" s="215">
        <f t="shared" si="420"/>
        <v>13194</v>
      </c>
      <c r="AU264" s="215">
        <f t="shared" si="420"/>
        <v>13194</v>
      </c>
      <c r="AV264" s="215">
        <f t="shared" si="420"/>
        <v>4806</v>
      </c>
      <c r="AW264" s="215">
        <f t="shared" si="420"/>
        <v>4806</v>
      </c>
      <c r="AX264" s="215"/>
      <c r="AY264" s="215"/>
      <c r="AZ264" s="265"/>
      <c r="BA264" s="232"/>
    </row>
    <row r="265" spans="1:53" s="257" customFormat="1" ht="36.75" customHeight="1">
      <c r="A265" s="275" t="s">
        <v>35</v>
      </c>
      <c r="B265" s="236" t="s">
        <v>629</v>
      </c>
      <c r="C265" s="255"/>
      <c r="D265" s="255"/>
      <c r="E265" s="255"/>
      <c r="F265" s="255"/>
      <c r="G265" s="255"/>
      <c r="H265" s="255"/>
      <c r="I265" s="256"/>
      <c r="J265" s="300">
        <f>J266+J267</f>
        <v>18000</v>
      </c>
      <c r="K265" s="300">
        <f t="shared" ref="K265:AR265" si="421">K266+K267</f>
        <v>18000</v>
      </c>
      <c r="L265" s="300">
        <f t="shared" si="421"/>
        <v>0</v>
      </c>
      <c r="M265" s="300">
        <f t="shared" si="421"/>
        <v>0</v>
      </c>
      <c r="N265" s="300">
        <f t="shared" si="421"/>
        <v>0</v>
      </c>
      <c r="O265" s="300">
        <f t="shared" si="421"/>
        <v>0</v>
      </c>
      <c r="P265" s="300">
        <f t="shared" si="421"/>
        <v>234</v>
      </c>
      <c r="Q265" s="300">
        <f t="shared" si="421"/>
        <v>234</v>
      </c>
      <c r="R265" s="300">
        <f t="shared" si="421"/>
        <v>18000</v>
      </c>
      <c r="S265" s="300">
        <f t="shared" si="421"/>
        <v>18000</v>
      </c>
      <c r="T265" s="300">
        <f t="shared" si="421"/>
        <v>0</v>
      </c>
      <c r="U265" s="300">
        <f t="shared" si="421"/>
        <v>0</v>
      </c>
      <c r="V265" s="300">
        <f t="shared" ref="V265" si="422">V266+V267</f>
        <v>6743</v>
      </c>
      <c r="W265" s="300">
        <f t="shared" si="421"/>
        <v>234</v>
      </c>
      <c r="X265" s="300">
        <f t="shared" si="421"/>
        <v>234</v>
      </c>
      <c r="Y265" s="300">
        <f t="shared" si="421"/>
        <v>0</v>
      </c>
      <c r="Z265" s="300">
        <f t="shared" si="421"/>
        <v>0</v>
      </c>
      <c r="AA265" s="300">
        <f t="shared" si="421"/>
        <v>6613</v>
      </c>
      <c r="AB265" s="300">
        <f t="shared" si="421"/>
        <v>6613</v>
      </c>
      <c r="AC265" s="300">
        <f t="shared" si="421"/>
        <v>0</v>
      </c>
      <c r="AD265" s="300">
        <f t="shared" si="421"/>
        <v>0</v>
      </c>
      <c r="AE265" s="300">
        <f t="shared" si="421"/>
        <v>13.504</v>
      </c>
      <c r="AF265" s="300">
        <f t="shared" si="421"/>
        <v>2200</v>
      </c>
      <c r="AG265" s="300">
        <f t="shared" si="421"/>
        <v>6847</v>
      </c>
      <c r="AH265" s="300">
        <f t="shared" si="421"/>
        <v>6847</v>
      </c>
      <c r="AI265" s="300"/>
      <c r="AJ265" s="300"/>
      <c r="AK265" s="300">
        <f t="shared" si="421"/>
        <v>6347</v>
      </c>
      <c r="AL265" s="300">
        <f t="shared" si="421"/>
        <v>6347</v>
      </c>
      <c r="AM265" s="300">
        <f t="shared" si="421"/>
        <v>0</v>
      </c>
      <c r="AN265" s="300">
        <f t="shared" si="421"/>
        <v>0</v>
      </c>
      <c r="AO265" s="300">
        <f t="shared" si="421"/>
        <v>6347</v>
      </c>
      <c r="AP265" s="300">
        <f>AP266+AP267</f>
        <v>6347</v>
      </c>
      <c r="AQ265" s="300">
        <f t="shared" si="421"/>
        <v>0</v>
      </c>
      <c r="AR265" s="300">
        <f t="shared" si="421"/>
        <v>0</v>
      </c>
      <c r="AS265" s="300">
        <f t="shared" ref="AS265:AW265" si="423">AS266+AS267</f>
        <v>13090</v>
      </c>
      <c r="AT265" s="300">
        <f t="shared" si="423"/>
        <v>13194</v>
      </c>
      <c r="AU265" s="300">
        <f t="shared" si="423"/>
        <v>13194</v>
      </c>
      <c r="AV265" s="300">
        <f t="shared" si="423"/>
        <v>4806</v>
      </c>
      <c r="AW265" s="300">
        <f t="shared" si="423"/>
        <v>4806</v>
      </c>
      <c r="AX265" s="300"/>
      <c r="AY265" s="300"/>
      <c r="AZ265" s="301"/>
      <c r="BA265" s="533"/>
    </row>
    <row r="266" spans="1:53" s="270" customFormat="1" ht="42.75" customHeight="1">
      <c r="A266" s="209">
        <v>1</v>
      </c>
      <c r="B266" s="321" t="s">
        <v>519</v>
      </c>
      <c r="C266" s="243" t="s">
        <v>448</v>
      </c>
      <c r="D266" s="243"/>
      <c r="E266" s="243" t="s">
        <v>812</v>
      </c>
      <c r="F266" s="243"/>
      <c r="G266" s="272"/>
      <c r="H266" s="303" t="s">
        <v>676</v>
      </c>
      <c r="I266" s="248" t="s">
        <v>520</v>
      </c>
      <c r="J266" s="273">
        <v>10000</v>
      </c>
      <c r="K266" s="273">
        <v>10000</v>
      </c>
      <c r="L266" s="212"/>
      <c r="M266" s="212"/>
      <c r="N266" s="212"/>
      <c r="O266" s="212"/>
      <c r="P266" s="212">
        <f t="shared" si="382"/>
        <v>130</v>
      </c>
      <c r="Q266" s="212">
        <f t="shared" si="383"/>
        <v>130</v>
      </c>
      <c r="R266" s="212">
        <f>S266</f>
        <v>10000</v>
      </c>
      <c r="S266" s="212">
        <v>10000</v>
      </c>
      <c r="T266" s="212"/>
      <c r="U266" s="212"/>
      <c r="V266" s="212">
        <f>130+4413</f>
        <v>4543</v>
      </c>
      <c r="W266" s="212">
        <v>130</v>
      </c>
      <c r="X266" s="212">
        <v>130</v>
      </c>
      <c r="Y266" s="212"/>
      <c r="Z266" s="212"/>
      <c r="AA266" s="212">
        <f>AB266</f>
        <v>4413</v>
      </c>
      <c r="AB266" s="212">
        <f>3000+1413</f>
        <v>4413</v>
      </c>
      <c r="AC266" s="212"/>
      <c r="AD266" s="212"/>
      <c r="AE266" s="212"/>
      <c r="AF266" s="212"/>
      <c r="AG266" s="212">
        <f t="shared" si="392"/>
        <v>4543</v>
      </c>
      <c r="AH266" s="212">
        <f t="shared" si="393"/>
        <v>4543</v>
      </c>
      <c r="AI266" s="212"/>
      <c r="AJ266" s="212"/>
      <c r="AK266" s="212">
        <f t="shared" ref="AK266:AK290" si="424">AO266</f>
        <v>2847</v>
      </c>
      <c r="AL266" s="212">
        <f t="shared" ref="AL266:AL290" si="425">AP266</f>
        <v>2847</v>
      </c>
      <c r="AM266" s="212">
        <f t="shared" ref="AM266:AM290" si="426">AQ266</f>
        <v>0</v>
      </c>
      <c r="AN266" s="212">
        <f t="shared" ref="AN266:AN290" si="427">AR266</f>
        <v>0</v>
      </c>
      <c r="AO266" s="212">
        <f>AP266</f>
        <v>2847</v>
      </c>
      <c r="AP266" s="212">
        <v>2847</v>
      </c>
      <c r="AQ266" s="212"/>
      <c r="AR266" s="212"/>
      <c r="AS266" s="212">
        <f t="shared" ref="AS266" si="428">V266+AP266</f>
        <v>7390</v>
      </c>
      <c r="AT266" s="212">
        <f t="shared" ref="AT266" si="429">AU266</f>
        <v>7390</v>
      </c>
      <c r="AU266" s="212">
        <f t="shared" ref="AU266" si="430">AH266+AP266</f>
        <v>7390</v>
      </c>
      <c r="AV266" s="212">
        <f t="shared" ref="AV266" si="431">AW266</f>
        <v>2610</v>
      </c>
      <c r="AW266" s="212">
        <f t="shared" ref="AW266" si="432">S266-AU266</f>
        <v>2610</v>
      </c>
      <c r="AX266" s="212"/>
      <c r="AY266" s="212"/>
      <c r="AZ266" s="243"/>
      <c r="BA266" s="279"/>
    </row>
    <row r="267" spans="1:53" s="270" customFormat="1" ht="37.5" customHeight="1">
      <c r="A267" s="209">
        <v>2</v>
      </c>
      <c r="B267" s="308" t="s">
        <v>521</v>
      </c>
      <c r="C267" s="243" t="s">
        <v>448</v>
      </c>
      <c r="D267" s="243"/>
      <c r="E267" s="319" t="s">
        <v>823</v>
      </c>
      <c r="F267" s="243"/>
      <c r="G267" s="272"/>
      <c r="H267" s="272"/>
      <c r="I267" s="211" t="s">
        <v>522</v>
      </c>
      <c r="J267" s="212">
        <v>8000</v>
      </c>
      <c r="K267" s="212">
        <v>8000</v>
      </c>
      <c r="L267" s="212"/>
      <c r="M267" s="212"/>
      <c r="N267" s="212"/>
      <c r="O267" s="212"/>
      <c r="P267" s="212">
        <f t="shared" si="382"/>
        <v>104</v>
      </c>
      <c r="Q267" s="212">
        <f t="shared" si="383"/>
        <v>104</v>
      </c>
      <c r="R267" s="212">
        <f>S267</f>
        <v>8000</v>
      </c>
      <c r="S267" s="212">
        <v>8000</v>
      </c>
      <c r="T267" s="212"/>
      <c r="U267" s="212"/>
      <c r="V267" s="212">
        <v>2200</v>
      </c>
      <c r="W267" s="212">
        <v>104</v>
      </c>
      <c r="X267" s="212">
        <v>104</v>
      </c>
      <c r="Y267" s="212"/>
      <c r="Z267" s="212"/>
      <c r="AA267" s="212">
        <v>2200</v>
      </c>
      <c r="AB267" s="212">
        <v>2200</v>
      </c>
      <c r="AC267" s="212"/>
      <c r="AD267" s="212"/>
      <c r="AE267" s="566">
        <v>13.504</v>
      </c>
      <c r="AF267" s="566">
        <v>2200</v>
      </c>
      <c r="AG267" s="212">
        <f t="shared" si="392"/>
        <v>2304</v>
      </c>
      <c r="AH267" s="212">
        <f t="shared" si="393"/>
        <v>2304</v>
      </c>
      <c r="AI267" s="212"/>
      <c r="AJ267" s="212"/>
      <c r="AK267" s="212">
        <f t="shared" si="424"/>
        <v>3500</v>
      </c>
      <c r="AL267" s="212">
        <f t="shared" si="425"/>
        <v>3500</v>
      </c>
      <c r="AM267" s="212">
        <f t="shared" si="426"/>
        <v>0</v>
      </c>
      <c r="AN267" s="212">
        <f t="shared" si="427"/>
        <v>0</v>
      </c>
      <c r="AO267" s="212">
        <f>AP267</f>
        <v>3500</v>
      </c>
      <c r="AP267" s="212">
        <v>3500</v>
      </c>
      <c r="AQ267" s="212"/>
      <c r="AR267" s="212"/>
      <c r="AS267" s="212">
        <f t="shared" ref="AS267" si="433">V267+AP267</f>
        <v>5700</v>
      </c>
      <c r="AT267" s="212">
        <f t="shared" ref="AT267" si="434">AU267</f>
        <v>5804</v>
      </c>
      <c r="AU267" s="212">
        <f t="shared" ref="AU267" si="435">AH267+AP267</f>
        <v>5804</v>
      </c>
      <c r="AV267" s="212">
        <f t="shared" ref="AV267" si="436">AW267</f>
        <v>2196</v>
      </c>
      <c r="AW267" s="212">
        <f t="shared" ref="AW267" si="437">S267-AU267</f>
        <v>2196</v>
      </c>
      <c r="AX267" s="212"/>
      <c r="AY267" s="212"/>
      <c r="AZ267" s="243"/>
      <c r="BA267" s="279"/>
    </row>
    <row r="268" spans="1:53" s="251" customFormat="1" ht="33.75" customHeight="1">
      <c r="A268" s="227" t="s">
        <v>278</v>
      </c>
      <c r="B268" s="234" t="s">
        <v>900</v>
      </c>
      <c r="C268" s="327"/>
      <c r="D268" s="327"/>
      <c r="E268" s="327"/>
      <c r="F268" s="327"/>
      <c r="G268" s="327"/>
      <c r="H268" s="327"/>
      <c r="I268" s="231"/>
      <c r="J268" s="242">
        <f>J269</f>
        <v>45500</v>
      </c>
      <c r="K268" s="242">
        <f t="shared" ref="K268:AW268" si="438">K269</f>
        <v>45500</v>
      </c>
      <c r="L268" s="242">
        <f t="shared" si="438"/>
        <v>0</v>
      </c>
      <c r="M268" s="242">
        <f t="shared" si="438"/>
        <v>0</v>
      </c>
      <c r="N268" s="242">
        <f t="shared" si="438"/>
        <v>0</v>
      </c>
      <c r="O268" s="242">
        <f t="shared" si="438"/>
        <v>0</v>
      </c>
      <c r="P268" s="242">
        <f t="shared" si="438"/>
        <v>520</v>
      </c>
      <c r="Q268" s="242">
        <f t="shared" si="438"/>
        <v>520</v>
      </c>
      <c r="R268" s="242">
        <f t="shared" si="438"/>
        <v>41500</v>
      </c>
      <c r="S268" s="242">
        <f t="shared" si="438"/>
        <v>41500</v>
      </c>
      <c r="T268" s="242">
        <f t="shared" si="438"/>
        <v>0</v>
      </c>
      <c r="U268" s="242">
        <f t="shared" si="438"/>
        <v>0</v>
      </c>
      <c r="V268" s="242">
        <f t="shared" si="438"/>
        <v>1145</v>
      </c>
      <c r="W268" s="242">
        <f t="shared" si="438"/>
        <v>520</v>
      </c>
      <c r="X268" s="242">
        <f t="shared" si="438"/>
        <v>520</v>
      </c>
      <c r="Y268" s="242">
        <f t="shared" si="438"/>
        <v>0</v>
      </c>
      <c r="Z268" s="242">
        <f t="shared" si="438"/>
        <v>0</v>
      </c>
      <c r="AA268" s="242">
        <f t="shared" si="438"/>
        <v>1195</v>
      </c>
      <c r="AB268" s="242">
        <f t="shared" si="438"/>
        <v>1195</v>
      </c>
      <c r="AC268" s="242">
        <f t="shared" si="438"/>
        <v>0</v>
      </c>
      <c r="AD268" s="242">
        <f t="shared" si="438"/>
        <v>0</v>
      </c>
      <c r="AE268" s="242">
        <f t="shared" si="438"/>
        <v>0</v>
      </c>
      <c r="AF268" s="242">
        <f t="shared" si="438"/>
        <v>0</v>
      </c>
      <c r="AG268" s="242">
        <f t="shared" si="438"/>
        <v>1715</v>
      </c>
      <c r="AH268" s="242">
        <f t="shared" si="438"/>
        <v>1715</v>
      </c>
      <c r="AI268" s="242"/>
      <c r="AJ268" s="242"/>
      <c r="AK268" s="242">
        <f t="shared" si="438"/>
        <v>13745</v>
      </c>
      <c r="AL268" s="242">
        <f t="shared" si="438"/>
        <v>13745</v>
      </c>
      <c r="AM268" s="242">
        <f t="shared" si="438"/>
        <v>0</v>
      </c>
      <c r="AN268" s="242">
        <f t="shared" si="438"/>
        <v>0</v>
      </c>
      <c r="AO268" s="242">
        <f t="shared" si="438"/>
        <v>9300</v>
      </c>
      <c r="AP268" s="242">
        <f t="shared" si="438"/>
        <v>9300</v>
      </c>
      <c r="AQ268" s="242">
        <f t="shared" si="438"/>
        <v>0</v>
      </c>
      <c r="AR268" s="242">
        <f t="shared" si="438"/>
        <v>0</v>
      </c>
      <c r="AS268" s="242">
        <f t="shared" si="438"/>
        <v>10445</v>
      </c>
      <c r="AT268" s="242">
        <f t="shared" si="438"/>
        <v>11015</v>
      </c>
      <c r="AU268" s="242">
        <f t="shared" si="438"/>
        <v>11015</v>
      </c>
      <c r="AV268" s="242">
        <f t="shared" si="438"/>
        <v>20337</v>
      </c>
      <c r="AW268" s="242">
        <f t="shared" si="438"/>
        <v>20337</v>
      </c>
      <c r="AX268" s="242"/>
      <c r="AY268" s="242"/>
      <c r="AZ268" s="229"/>
      <c r="BA268" s="232"/>
    </row>
    <row r="269" spans="1:53" s="257" customFormat="1" ht="33.75" customHeight="1">
      <c r="A269" s="275" t="s">
        <v>35</v>
      </c>
      <c r="B269" s="236" t="s">
        <v>629</v>
      </c>
      <c r="C269" s="311"/>
      <c r="D269" s="311"/>
      <c r="E269" s="311"/>
      <c r="F269" s="311"/>
      <c r="G269" s="311"/>
      <c r="H269" s="311"/>
      <c r="I269" s="256"/>
      <c r="J269" s="300">
        <f t="shared" ref="J269:AW269" si="439">J270+J272+J273</f>
        <v>45500</v>
      </c>
      <c r="K269" s="300">
        <f t="shared" si="439"/>
        <v>45500</v>
      </c>
      <c r="L269" s="300">
        <f t="shared" si="439"/>
        <v>0</v>
      </c>
      <c r="M269" s="300">
        <f t="shared" si="439"/>
        <v>0</v>
      </c>
      <c r="N269" s="300">
        <f t="shared" si="439"/>
        <v>0</v>
      </c>
      <c r="O269" s="300">
        <f t="shared" si="439"/>
        <v>0</v>
      </c>
      <c r="P269" s="300">
        <f t="shared" si="439"/>
        <v>520</v>
      </c>
      <c r="Q269" s="300">
        <f t="shared" si="439"/>
        <v>520</v>
      </c>
      <c r="R269" s="300">
        <f t="shared" si="439"/>
        <v>41500</v>
      </c>
      <c r="S269" s="300">
        <f t="shared" si="439"/>
        <v>41500</v>
      </c>
      <c r="T269" s="300">
        <f t="shared" si="439"/>
        <v>0</v>
      </c>
      <c r="U269" s="300">
        <f t="shared" si="439"/>
        <v>0</v>
      </c>
      <c r="V269" s="300">
        <f t="shared" si="439"/>
        <v>1145</v>
      </c>
      <c r="W269" s="300">
        <f t="shared" si="439"/>
        <v>520</v>
      </c>
      <c r="X269" s="300">
        <f t="shared" si="439"/>
        <v>520</v>
      </c>
      <c r="Y269" s="300">
        <f t="shared" si="439"/>
        <v>0</v>
      </c>
      <c r="Z269" s="300">
        <f t="shared" si="439"/>
        <v>0</v>
      </c>
      <c r="AA269" s="300">
        <f t="shared" si="439"/>
        <v>1195</v>
      </c>
      <c r="AB269" s="300">
        <f t="shared" si="439"/>
        <v>1195</v>
      </c>
      <c r="AC269" s="300">
        <f t="shared" si="439"/>
        <v>0</v>
      </c>
      <c r="AD269" s="300">
        <f t="shared" si="439"/>
        <v>0</v>
      </c>
      <c r="AE269" s="300">
        <f t="shared" si="439"/>
        <v>0</v>
      </c>
      <c r="AF269" s="300">
        <f t="shared" si="439"/>
        <v>0</v>
      </c>
      <c r="AG269" s="300">
        <f t="shared" si="439"/>
        <v>1715</v>
      </c>
      <c r="AH269" s="300">
        <f t="shared" si="439"/>
        <v>1715</v>
      </c>
      <c r="AI269" s="300">
        <f t="shared" si="439"/>
        <v>0</v>
      </c>
      <c r="AJ269" s="300">
        <f t="shared" si="439"/>
        <v>0</v>
      </c>
      <c r="AK269" s="300">
        <f t="shared" si="439"/>
        <v>13745</v>
      </c>
      <c r="AL269" s="300">
        <f t="shared" si="439"/>
        <v>13745</v>
      </c>
      <c r="AM269" s="300">
        <f t="shared" si="439"/>
        <v>0</v>
      </c>
      <c r="AN269" s="300">
        <f t="shared" si="439"/>
        <v>0</v>
      </c>
      <c r="AO269" s="300">
        <f t="shared" si="439"/>
        <v>9300</v>
      </c>
      <c r="AP269" s="300">
        <f t="shared" si="439"/>
        <v>9300</v>
      </c>
      <c r="AQ269" s="300">
        <f t="shared" si="439"/>
        <v>0</v>
      </c>
      <c r="AR269" s="300">
        <f t="shared" si="439"/>
        <v>0</v>
      </c>
      <c r="AS269" s="300">
        <f t="shared" si="439"/>
        <v>10445</v>
      </c>
      <c r="AT269" s="300">
        <f t="shared" si="439"/>
        <v>11015</v>
      </c>
      <c r="AU269" s="300">
        <f t="shared" si="439"/>
        <v>11015</v>
      </c>
      <c r="AV269" s="300">
        <f t="shared" si="439"/>
        <v>20337</v>
      </c>
      <c r="AW269" s="300">
        <f t="shared" si="439"/>
        <v>20337</v>
      </c>
      <c r="AX269" s="300"/>
      <c r="AY269" s="300"/>
      <c r="AZ269" s="255"/>
      <c r="BA269" s="533"/>
    </row>
    <row r="270" spans="1:53" s="270" customFormat="1" ht="37.5" customHeight="1">
      <c r="A270" s="209">
        <v>1</v>
      </c>
      <c r="B270" s="308" t="s">
        <v>523</v>
      </c>
      <c r="C270" s="243" t="s">
        <v>448</v>
      </c>
      <c r="D270" s="243"/>
      <c r="E270" s="319" t="s">
        <v>823</v>
      </c>
      <c r="F270" s="243"/>
      <c r="G270" s="272"/>
      <c r="H270" s="243" t="s">
        <v>676</v>
      </c>
      <c r="I270" s="211" t="s">
        <v>524</v>
      </c>
      <c r="J270" s="212">
        <v>40000</v>
      </c>
      <c r="K270" s="212">
        <v>40000</v>
      </c>
      <c r="L270" s="212"/>
      <c r="M270" s="212"/>
      <c r="N270" s="212"/>
      <c r="O270" s="212"/>
      <c r="P270" s="212">
        <f t="shared" si="382"/>
        <v>520</v>
      </c>
      <c r="Q270" s="212">
        <f t="shared" si="383"/>
        <v>520</v>
      </c>
      <c r="R270" s="212">
        <v>36000</v>
      </c>
      <c r="S270" s="212">
        <v>36000</v>
      </c>
      <c r="T270" s="212"/>
      <c r="U270" s="212"/>
      <c r="V270" s="212">
        <v>1145</v>
      </c>
      <c r="W270" s="212">
        <v>520</v>
      </c>
      <c r="X270" s="212">
        <v>520</v>
      </c>
      <c r="Y270" s="212"/>
      <c r="Z270" s="212"/>
      <c r="AA270" s="212">
        <v>1145</v>
      </c>
      <c r="AB270" s="212">
        <v>1145</v>
      </c>
      <c r="AC270" s="212"/>
      <c r="AD270" s="212"/>
      <c r="AE270" s="212"/>
      <c r="AF270" s="212"/>
      <c r="AG270" s="212">
        <f t="shared" si="392"/>
        <v>1665</v>
      </c>
      <c r="AH270" s="212">
        <f t="shared" si="393"/>
        <v>1665</v>
      </c>
      <c r="AI270" s="212"/>
      <c r="AJ270" s="212"/>
      <c r="AK270" s="212">
        <f>AL270</f>
        <v>11445</v>
      </c>
      <c r="AL270" s="212">
        <f>(S270-AH270)/3</f>
        <v>11445</v>
      </c>
      <c r="AM270" s="212">
        <f t="shared" si="426"/>
        <v>0</v>
      </c>
      <c r="AN270" s="212">
        <f t="shared" si="427"/>
        <v>0</v>
      </c>
      <c r="AO270" s="212">
        <f>AP270</f>
        <v>7000</v>
      </c>
      <c r="AP270" s="212">
        <v>7000</v>
      </c>
      <c r="AQ270" s="212"/>
      <c r="AR270" s="526"/>
      <c r="AS270" s="212">
        <f t="shared" ref="AS270" si="440">V270+AP270</f>
        <v>8145</v>
      </c>
      <c r="AT270" s="212">
        <f t="shared" ref="AT270" si="441">AU270</f>
        <v>8665</v>
      </c>
      <c r="AU270" s="212">
        <f t="shared" ref="AU270" si="442">AH270+AP270</f>
        <v>8665</v>
      </c>
      <c r="AV270" s="212">
        <f t="shared" ref="AV270" si="443">AW270</f>
        <v>17187</v>
      </c>
      <c r="AW270" s="212">
        <v>17187</v>
      </c>
      <c r="AX270" s="526"/>
      <c r="AY270" s="526"/>
      <c r="AZ270" s="209"/>
      <c r="BA270" s="279"/>
    </row>
    <row r="271" spans="1:53" s="270" customFormat="1" ht="43.5" customHeight="1">
      <c r="A271" s="209">
        <v>2</v>
      </c>
      <c r="B271" s="267" t="s">
        <v>525</v>
      </c>
      <c r="C271" s="243" t="s">
        <v>448</v>
      </c>
      <c r="D271" s="243"/>
      <c r="E271" s="319" t="s">
        <v>823</v>
      </c>
      <c r="F271" s="243"/>
      <c r="G271" s="272"/>
      <c r="H271" s="243" t="s">
        <v>676</v>
      </c>
      <c r="I271" s="248" t="s">
        <v>526</v>
      </c>
      <c r="J271" s="212">
        <v>17000</v>
      </c>
      <c r="K271" s="212">
        <v>17000</v>
      </c>
      <c r="L271" s="212"/>
      <c r="M271" s="212"/>
      <c r="N271" s="212"/>
      <c r="O271" s="212"/>
      <c r="P271" s="212">
        <f t="shared" si="382"/>
        <v>164</v>
      </c>
      <c r="Q271" s="212">
        <f t="shared" si="383"/>
        <v>164</v>
      </c>
      <c r="R271" s="212">
        <v>15300</v>
      </c>
      <c r="S271" s="212">
        <v>15300</v>
      </c>
      <c r="T271" s="212"/>
      <c r="U271" s="212"/>
      <c r="V271" s="212"/>
      <c r="W271" s="212">
        <v>164</v>
      </c>
      <c r="X271" s="212">
        <v>164</v>
      </c>
      <c r="Y271" s="212"/>
      <c r="Z271" s="212"/>
      <c r="AA271" s="212"/>
      <c r="AB271" s="212"/>
      <c r="AC271" s="212"/>
      <c r="AD271" s="212"/>
      <c r="AE271" s="212"/>
      <c r="AF271" s="212"/>
      <c r="AG271" s="212">
        <f t="shared" si="392"/>
        <v>164</v>
      </c>
      <c r="AH271" s="212">
        <f t="shared" si="393"/>
        <v>164</v>
      </c>
      <c r="AI271" s="212"/>
      <c r="AJ271" s="212"/>
      <c r="AK271" s="212">
        <f t="shared" ref="AK271" si="444">AO271</f>
        <v>2500</v>
      </c>
      <c r="AL271" s="212">
        <f t="shared" ref="AL271" si="445">AP271</f>
        <v>2500</v>
      </c>
      <c r="AM271" s="212">
        <f t="shared" si="426"/>
        <v>0</v>
      </c>
      <c r="AN271" s="212">
        <f t="shared" si="427"/>
        <v>0</v>
      </c>
      <c r="AO271" s="567">
        <f>AP271</f>
        <v>2500</v>
      </c>
      <c r="AP271" s="212">
        <v>2500</v>
      </c>
      <c r="AQ271" s="212"/>
      <c r="AR271" s="212"/>
      <c r="AS271" s="212">
        <f t="shared" ref="AS271:AS273" si="446">V271+AP271</f>
        <v>2500</v>
      </c>
      <c r="AT271" s="212">
        <f t="shared" ref="AT271:AT273" si="447">AU271</f>
        <v>2664</v>
      </c>
      <c r="AU271" s="212">
        <f t="shared" ref="AU271:AU273" si="448">AH271+AP271</f>
        <v>2664</v>
      </c>
      <c r="AV271" s="212">
        <f t="shared" ref="AV271:AV273" si="449">AW271</f>
        <v>0</v>
      </c>
      <c r="AW271" s="212"/>
      <c r="AX271" s="212"/>
      <c r="AY271" s="212"/>
      <c r="AZ271" s="209" t="s">
        <v>969</v>
      </c>
      <c r="BA271" s="279"/>
    </row>
    <row r="272" spans="1:53" s="262" customFormat="1" ht="36.950000000000003" customHeight="1">
      <c r="A272" s="209">
        <v>3</v>
      </c>
      <c r="B272" s="321" t="s">
        <v>531</v>
      </c>
      <c r="C272" s="243" t="s">
        <v>448</v>
      </c>
      <c r="D272" s="243"/>
      <c r="E272" s="319" t="s">
        <v>823</v>
      </c>
      <c r="F272" s="243"/>
      <c r="G272" s="243"/>
      <c r="H272" s="243" t="s">
        <v>367</v>
      </c>
      <c r="I272" s="507" t="s">
        <v>675</v>
      </c>
      <c r="J272" s="335">
        <f>K272</f>
        <v>2500</v>
      </c>
      <c r="K272" s="336">
        <v>2500</v>
      </c>
      <c r="L272" s="212"/>
      <c r="M272" s="212"/>
      <c r="N272" s="212"/>
      <c r="O272" s="212"/>
      <c r="P272" s="212">
        <f t="shared" ref="P272:Q273" si="450">L272+W272</f>
        <v>0</v>
      </c>
      <c r="Q272" s="212">
        <f t="shared" si="450"/>
        <v>0</v>
      </c>
      <c r="R272" s="212">
        <v>2500</v>
      </c>
      <c r="S272" s="212">
        <v>2500</v>
      </c>
      <c r="T272" s="212"/>
      <c r="U272" s="212"/>
      <c r="V272" s="212"/>
      <c r="W272" s="212"/>
      <c r="X272" s="212"/>
      <c r="Y272" s="212"/>
      <c r="Z272" s="212"/>
      <c r="AA272" s="212"/>
      <c r="AB272" s="212"/>
      <c r="AC272" s="212"/>
      <c r="AD272" s="212"/>
      <c r="AE272" s="212"/>
      <c r="AF272" s="212"/>
      <c r="AG272" s="212">
        <f>W272+AA272</f>
        <v>0</v>
      </c>
      <c r="AH272" s="212">
        <f>X272+AB272</f>
        <v>0</v>
      </c>
      <c r="AI272" s="212"/>
      <c r="AJ272" s="212"/>
      <c r="AK272" s="212">
        <f t="shared" ref="AK272:AN273" si="451">AO272</f>
        <v>800</v>
      </c>
      <c r="AL272" s="212">
        <f t="shared" si="451"/>
        <v>800</v>
      </c>
      <c r="AM272" s="212">
        <f t="shared" si="451"/>
        <v>0</v>
      </c>
      <c r="AN272" s="212">
        <f t="shared" si="451"/>
        <v>0</v>
      </c>
      <c r="AO272" s="212">
        <v>800</v>
      </c>
      <c r="AP272" s="212">
        <f t="shared" ref="AP272:AP273" si="452">AO272</f>
        <v>800</v>
      </c>
      <c r="AQ272" s="212"/>
      <c r="AR272" s="212"/>
      <c r="AS272" s="212">
        <f t="shared" si="446"/>
        <v>800</v>
      </c>
      <c r="AT272" s="212">
        <f t="shared" si="447"/>
        <v>800</v>
      </c>
      <c r="AU272" s="212">
        <f t="shared" si="448"/>
        <v>800</v>
      </c>
      <c r="AV272" s="212">
        <f t="shared" si="449"/>
        <v>1700</v>
      </c>
      <c r="AW272" s="212">
        <f t="shared" ref="AW272:AW273" si="453">S272-AU272</f>
        <v>1700</v>
      </c>
      <c r="AX272" s="212"/>
      <c r="AY272" s="212"/>
      <c r="AZ272" s="209"/>
      <c r="BA272" s="201"/>
    </row>
    <row r="273" spans="1:53" s="262" customFormat="1" ht="36" customHeight="1">
      <c r="A273" s="209">
        <v>4</v>
      </c>
      <c r="B273" s="267" t="s">
        <v>528</v>
      </c>
      <c r="C273" s="243" t="s">
        <v>448</v>
      </c>
      <c r="D273" s="243"/>
      <c r="E273" s="319" t="s">
        <v>823</v>
      </c>
      <c r="F273" s="243"/>
      <c r="G273" s="243"/>
      <c r="H273" s="243" t="s">
        <v>676</v>
      </c>
      <c r="I273" s="506" t="s">
        <v>859</v>
      </c>
      <c r="J273" s="212">
        <f>K273</f>
        <v>3000</v>
      </c>
      <c r="K273" s="212">
        <v>3000</v>
      </c>
      <c r="L273" s="212"/>
      <c r="M273" s="212"/>
      <c r="N273" s="212"/>
      <c r="O273" s="212"/>
      <c r="P273" s="212">
        <f t="shared" si="450"/>
        <v>0</v>
      </c>
      <c r="Q273" s="212">
        <f t="shared" si="450"/>
        <v>0</v>
      </c>
      <c r="R273" s="212">
        <v>3000</v>
      </c>
      <c r="S273" s="212">
        <v>3000</v>
      </c>
      <c r="T273" s="212"/>
      <c r="U273" s="212"/>
      <c r="V273" s="212"/>
      <c r="W273" s="212"/>
      <c r="X273" s="212"/>
      <c r="Y273" s="212"/>
      <c r="Z273" s="212"/>
      <c r="AA273" s="212">
        <v>50</v>
      </c>
      <c r="AB273" s="212">
        <v>50</v>
      </c>
      <c r="AC273" s="212"/>
      <c r="AD273" s="212"/>
      <c r="AE273" s="212"/>
      <c r="AF273" s="212"/>
      <c r="AG273" s="212">
        <f>W273+AA273</f>
        <v>50</v>
      </c>
      <c r="AH273" s="212">
        <f>X273+AB273</f>
        <v>50</v>
      </c>
      <c r="AI273" s="212"/>
      <c r="AJ273" s="212"/>
      <c r="AK273" s="212">
        <f t="shared" si="451"/>
        <v>1500</v>
      </c>
      <c r="AL273" s="212">
        <f t="shared" si="451"/>
        <v>1500</v>
      </c>
      <c r="AM273" s="212">
        <f t="shared" si="451"/>
        <v>0</v>
      </c>
      <c r="AN273" s="212">
        <f t="shared" si="451"/>
        <v>0</v>
      </c>
      <c r="AO273" s="212">
        <v>1500</v>
      </c>
      <c r="AP273" s="212">
        <f t="shared" si="452"/>
        <v>1500</v>
      </c>
      <c r="AQ273" s="212"/>
      <c r="AR273" s="212"/>
      <c r="AS273" s="212">
        <f t="shared" si="446"/>
        <v>1500</v>
      </c>
      <c r="AT273" s="212">
        <f t="shared" si="447"/>
        <v>1550</v>
      </c>
      <c r="AU273" s="212">
        <f t="shared" si="448"/>
        <v>1550</v>
      </c>
      <c r="AV273" s="212">
        <f t="shared" si="449"/>
        <v>1450</v>
      </c>
      <c r="AW273" s="212">
        <f t="shared" si="453"/>
        <v>1450</v>
      </c>
      <c r="AX273" s="212"/>
      <c r="AY273" s="212"/>
      <c r="AZ273" s="209"/>
      <c r="BA273" s="201"/>
    </row>
    <row r="274" spans="1:53" s="533" customFormat="1" ht="36.75" hidden="1" customHeight="1">
      <c r="A274" s="338" t="s">
        <v>279</v>
      </c>
      <c r="B274" s="555" t="s">
        <v>901</v>
      </c>
      <c r="C274" s="534"/>
      <c r="D274" s="534"/>
      <c r="E274" s="534"/>
      <c r="F274" s="534"/>
      <c r="G274" s="534"/>
      <c r="H274" s="534"/>
      <c r="I274" s="503"/>
      <c r="J274" s="504">
        <f>J275</f>
        <v>0</v>
      </c>
      <c r="K274" s="504">
        <f t="shared" ref="K274:S274" si="454">K275</f>
        <v>0</v>
      </c>
      <c r="L274" s="504">
        <f t="shared" si="454"/>
        <v>0</v>
      </c>
      <c r="M274" s="504">
        <f t="shared" si="454"/>
        <v>0</v>
      </c>
      <c r="N274" s="504">
        <f t="shared" si="454"/>
        <v>0</v>
      </c>
      <c r="O274" s="504">
        <f t="shared" si="454"/>
        <v>0</v>
      </c>
      <c r="P274" s="504">
        <f t="shared" si="454"/>
        <v>0</v>
      </c>
      <c r="Q274" s="504">
        <f t="shared" si="454"/>
        <v>0</v>
      </c>
      <c r="R274" s="504">
        <f t="shared" si="454"/>
        <v>31485</v>
      </c>
      <c r="S274" s="504">
        <f t="shared" si="454"/>
        <v>31485</v>
      </c>
      <c r="T274" s="504">
        <f t="shared" ref="T274" si="455">T275</f>
        <v>0</v>
      </c>
      <c r="U274" s="504">
        <f t="shared" ref="U274" si="456">U275</f>
        <v>0</v>
      </c>
      <c r="V274" s="504"/>
      <c r="W274" s="504">
        <f t="shared" ref="W274" si="457">W275</f>
        <v>0</v>
      </c>
      <c r="X274" s="504">
        <f t="shared" ref="X274" si="458">X275</f>
        <v>0</v>
      </c>
      <c r="Y274" s="504">
        <f t="shared" ref="Y274" si="459">Y275</f>
        <v>0</v>
      </c>
      <c r="Z274" s="504">
        <f t="shared" ref="Z274" si="460">Z275</f>
        <v>0</v>
      </c>
      <c r="AA274" s="504">
        <f t="shared" ref="AA274" si="461">AA275</f>
        <v>0</v>
      </c>
      <c r="AB274" s="504">
        <f t="shared" ref="AB274" si="462">AB275</f>
        <v>0</v>
      </c>
      <c r="AC274" s="504">
        <f t="shared" ref="AC274" si="463">AC275</f>
        <v>0</v>
      </c>
      <c r="AD274" s="504">
        <f t="shared" ref="AD274" si="464">AD275</f>
        <v>0</v>
      </c>
      <c r="AE274" s="504">
        <f t="shared" ref="AE274" si="465">AE275</f>
        <v>0</v>
      </c>
      <c r="AF274" s="504">
        <f t="shared" ref="AF274" si="466">AF275</f>
        <v>0</v>
      </c>
      <c r="AG274" s="504">
        <f t="shared" ref="AG274" si="467">AG275</f>
        <v>0</v>
      </c>
      <c r="AH274" s="504">
        <f t="shared" ref="AH274" si="468">AH275</f>
        <v>0</v>
      </c>
      <c r="AI274" s="504"/>
      <c r="AJ274" s="504"/>
      <c r="AK274" s="504">
        <f t="shared" ref="AK274" si="469">AK275</f>
        <v>100</v>
      </c>
      <c r="AL274" s="504">
        <f t="shared" ref="AL274" si="470">AL275</f>
        <v>100</v>
      </c>
      <c r="AM274" s="504">
        <f t="shared" ref="AM274" si="471">AM275</f>
        <v>0</v>
      </c>
      <c r="AN274" s="504">
        <f t="shared" ref="AN274" si="472">AN275</f>
        <v>0</v>
      </c>
      <c r="AO274" s="504">
        <f t="shared" ref="AO274" si="473">AO275</f>
        <v>100</v>
      </c>
      <c r="AP274" s="504">
        <f t="shared" ref="AP274" si="474">AP275</f>
        <v>100</v>
      </c>
      <c r="AQ274" s="504">
        <f t="shared" ref="AQ274" si="475">AQ275</f>
        <v>0</v>
      </c>
      <c r="AR274" s="504">
        <f t="shared" ref="AR274:AW274" si="476">AR275</f>
        <v>0</v>
      </c>
      <c r="AS274" s="277">
        <f t="shared" si="476"/>
        <v>0</v>
      </c>
      <c r="AT274" s="277">
        <f t="shared" si="476"/>
        <v>0</v>
      </c>
      <c r="AU274" s="277">
        <f t="shared" si="476"/>
        <v>0</v>
      </c>
      <c r="AV274" s="277">
        <f t="shared" si="476"/>
        <v>500</v>
      </c>
      <c r="AW274" s="277">
        <f t="shared" si="476"/>
        <v>500</v>
      </c>
      <c r="AX274" s="277"/>
      <c r="AY274" s="277"/>
      <c r="AZ274" s="534"/>
    </row>
    <row r="275" spans="1:53" s="533" customFormat="1" ht="27.95" hidden="1" customHeight="1">
      <c r="A275" s="338"/>
      <c r="B275" s="555" t="s">
        <v>45</v>
      </c>
      <c r="C275" s="534"/>
      <c r="D275" s="534"/>
      <c r="E275" s="534"/>
      <c r="F275" s="534"/>
      <c r="G275" s="534"/>
      <c r="H275" s="534"/>
      <c r="I275" s="503"/>
      <c r="J275" s="504">
        <f t="shared" ref="J275:Q275" si="477">SUM(J276:J277)</f>
        <v>0</v>
      </c>
      <c r="K275" s="504">
        <f t="shared" si="477"/>
        <v>0</v>
      </c>
      <c r="L275" s="504">
        <f t="shared" si="477"/>
        <v>0</v>
      </c>
      <c r="M275" s="504">
        <f t="shared" si="477"/>
        <v>0</v>
      </c>
      <c r="N275" s="504">
        <f t="shared" si="477"/>
        <v>0</v>
      </c>
      <c r="O275" s="504">
        <f t="shared" si="477"/>
        <v>0</v>
      </c>
      <c r="P275" s="504">
        <f t="shared" si="477"/>
        <v>0</v>
      </c>
      <c r="Q275" s="504">
        <f t="shared" si="477"/>
        <v>0</v>
      </c>
      <c r="R275" s="504">
        <f>SUM(R276:R279)</f>
        <v>31485</v>
      </c>
      <c r="S275" s="504">
        <f t="shared" ref="S275:AW275" si="478">SUM(S276:S279)</f>
        <v>31485</v>
      </c>
      <c r="T275" s="504">
        <f t="shared" si="478"/>
        <v>0</v>
      </c>
      <c r="U275" s="504">
        <f t="shared" si="478"/>
        <v>0</v>
      </c>
      <c r="V275" s="504">
        <f t="shared" si="478"/>
        <v>0</v>
      </c>
      <c r="W275" s="504">
        <f t="shared" si="478"/>
        <v>0</v>
      </c>
      <c r="X275" s="504">
        <f t="shared" si="478"/>
        <v>0</v>
      </c>
      <c r="Y275" s="504">
        <f t="shared" si="478"/>
        <v>0</v>
      </c>
      <c r="Z275" s="504">
        <f t="shared" si="478"/>
        <v>0</v>
      </c>
      <c r="AA275" s="504">
        <f t="shared" si="478"/>
        <v>0</v>
      </c>
      <c r="AB275" s="504">
        <f t="shared" si="478"/>
        <v>0</v>
      </c>
      <c r="AC275" s="504">
        <f t="shared" si="478"/>
        <v>0</v>
      </c>
      <c r="AD275" s="504">
        <f t="shared" si="478"/>
        <v>0</v>
      </c>
      <c r="AE275" s="504">
        <f t="shared" si="478"/>
        <v>0</v>
      </c>
      <c r="AF275" s="504">
        <f t="shared" si="478"/>
        <v>0</v>
      </c>
      <c r="AG275" s="504">
        <f t="shared" si="478"/>
        <v>0</v>
      </c>
      <c r="AH275" s="504">
        <f t="shared" si="478"/>
        <v>0</v>
      </c>
      <c r="AI275" s="504">
        <f t="shared" si="478"/>
        <v>0</v>
      </c>
      <c r="AJ275" s="504">
        <f t="shared" si="478"/>
        <v>0</v>
      </c>
      <c r="AK275" s="504">
        <f t="shared" si="478"/>
        <v>100</v>
      </c>
      <c r="AL275" s="504">
        <f t="shared" si="478"/>
        <v>100</v>
      </c>
      <c r="AM275" s="504">
        <f t="shared" si="478"/>
        <v>0</v>
      </c>
      <c r="AN275" s="504">
        <f t="shared" si="478"/>
        <v>0</v>
      </c>
      <c r="AO275" s="504">
        <f t="shared" si="478"/>
        <v>100</v>
      </c>
      <c r="AP275" s="504">
        <f t="shared" si="478"/>
        <v>100</v>
      </c>
      <c r="AQ275" s="504">
        <f t="shared" si="478"/>
        <v>0</v>
      </c>
      <c r="AR275" s="504">
        <f t="shared" si="478"/>
        <v>0</v>
      </c>
      <c r="AS275" s="504">
        <f t="shared" si="478"/>
        <v>0</v>
      </c>
      <c r="AT275" s="504">
        <f t="shared" si="478"/>
        <v>0</v>
      </c>
      <c r="AU275" s="504">
        <f t="shared" si="478"/>
        <v>0</v>
      </c>
      <c r="AV275" s="504">
        <f t="shared" si="478"/>
        <v>500</v>
      </c>
      <c r="AW275" s="504">
        <f t="shared" si="478"/>
        <v>500</v>
      </c>
      <c r="AX275" s="277"/>
      <c r="AY275" s="277"/>
      <c r="AZ275" s="534"/>
    </row>
    <row r="276" spans="1:53" s="262" customFormat="1" ht="35.25" hidden="1" customHeight="1">
      <c r="A276" s="209">
        <v>1</v>
      </c>
      <c r="B276" s="267" t="s">
        <v>529</v>
      </c>
      <c r="C276" s="243" t="s">
        <v>448</v>
      </c>
      <c r="D276" s="243"/>
      <c r="E276" s="319" t="s">
        <v>823</v>
      </c>
      <c r="F276" s="243"/>
      <c r="G276" s="243"/>
      <c r="H276" s="243"/>
      <c r="I276" s="248"/>
      <c r="J276" s="212"/>
      <c r="K276" s="212"/>
      <c r="L276" s="212"/>
      <c r="M276" s="212"/>
      <c r="N276" s="212"/>
      <c r="O276" s="212"/>
      <c r="P276" s="212">
        <f t="shared" ref="P276:Q277" si="479">L276+W276</f>
        <v>0</v>
      </c>
      <c r="Q276" s="212">
        <f t="shared" si="479"/>
        <v>0</v>
      </c>
      <c r="R276" s="212">
        <v>15000</v>
      </c>
      <c r="S276" s="212">
        <v>15000</v>
      </c>
      <c r="T276" s="212"/>
      <c r="U276" s="212"/>
      <c r="V276" s="212"/>
      <c r="W276" s="212"/>
      <c r="X276" s="212"/>
      <c r="Y276" s="212"/>
      <c r="Z276" s="212"/>
      <c r="AA276" s="212"/>
      <c r="AB276" s="212"/>
      <c r="AC276" s="212"/>
      <c r="AD276" s="212"/>
      <c r="AE276" s="212"/>
      <c r="AF276" s="212"/>
      <c r="AG276" s="212">
        <f>W276+AA276</f>
        <v>0</v>
      </c>
      <c r="AH276" s="212">
        <f>X276+AB276</f>
        <v>0</v>
      </c>
      <c r="AI276" s="212"/>
      <c r="AJ276" s="212"/>
      <c r="AK276" s="212">
        <f t="shared" ref="AK276:AN277" si="480">AO276</f>
        <v>50</v>
      </c>
      <c r="AL276" s="212">
        <f t="shared" si="480"/>
        <v>50</v>
      </c>
      <c r="AM276" s="212">
        <f t="shared" si="480"/>
        <v>0</v>
      </c>
      <c r="AN276" s="212">
        <f t="shared" si="480"/>
        <v>0</v>
      </c>
      <c r="AO276" s="212">
        <f>AP276</f>
        <v>50</v>
      </c>
      <c r="AP276" s="212">
        <v>50</v>
      </c>
      <c r="AQ276" s="212"/>
      <c r="AR276" s="212"/>
      <c r="AS276" s="212"/>
      <c r="AT276" s="212"/>
      <c r="AU276" s="212"/>
      <c r="AV276" s="212">
        <f>AW276</f>
        <v>0</v>
      </c>
      <c r="AW276" s="212"/>
      <c r="AX276" s="212"/>
      <c r="AY276" s="212"/>
      <c r="AZ276" s="261"/>
      <c r="BA276" s="201"/>
    </row>
    <row r="277" spans="1:53" s="262" customFormat="1" ht="39" hidden="1" customHeight="1">
      <c r="A277" s="209">
        <v>2</v>
      </c>
      <c r="B277" s="267" t="s">
        <v>530</v>
      </c>
      <c r="C277" s="243" t="s">
        <v>448</v>
      </c>
      <c r="D277" s="243"/>
      <c r="E277" s="319" t="s">
        <v>823</v>
      </c>
      <c r="F277" s="243"/>
      <c r="G277" s="243"/>
      <c r="H277" s="243"/>
      <c r="I277" s="248"/>
      <c r="J277" s="212"/>
      <c r="K277" s="212"/>
      <c r="L277" s="212"/>
      <c r="M277" s="212"/>
      <c r="N277" s="212"/>
      <c r="O277" s="212"/>
      <c r="P277" s="212">
        <f t="shared" si="479"/>
        <v>0</v>
      </c>
      <c r="Q277" s="212">
        <f t="shared" si="479"/>
        <v>0</v>
      </c>
      <c r="R277" s="212">
        <v>10000</v>
      </c>
      <c r="S277" s="212">
        <v>10000</v>
      </c>
      <c r="T277" s="212"/>
      <c r="U277" s="212"/>
      <c r="V277" s="212"/>
      <c r="W277" s="212"/>
      <c r="X277" s="212"/>
      <c r="Y277" s="212"/>
      <c r="Z277" s="212"/>
      <c r="AA277" s="212"/>
      <c r="AB277" s="212"/>
      <c r="AC277" s="212"/>
      <c r="AD277" s="212"/>
      <c r="AE277" s="212"/>
      <c r="AF277" s="212"/>
      <c r="AG277" s="212">
        <f>W277+AA277</f>
        <v>0</v>
      </c>
      <c r="AH277" s="212">
        <f>X277+AB277</f>
        <v>0</v>
      </c>
      <c r="AI277" s="212"/>
      <c r="AJ277" s="212"/>
      <c r="AK277" s="212">
        <f t="shared" si="480"/>
        <v>50</v>
      </c>
      <c r="AL277" s="212">
        <f t="shared" si="480"/>
        <v>50</v>
      </c>
      <c r="AM277" s="212">
        <f t="shared" si="480"/>
        <v>0</v>
      </c>
      <c r="AN277" s="212">
        <f t="shared" si="480"/>
        <v>0</v>
      </c>
      <c r="AO277" s="212">
        <f>AP277</f>
        <v>50</v>
      </c>
      <c r="AP277" s="212">
        <v>50</v>
      </c>
      <c r="AQ277" s="212"/>
      <c r="AR277" s="212"/>
      <c r="AS277" s="212"/>
      <c r="AT277" s="212"/>
      <c r="AU277" s="212"/>
      <c r="AV277" s="212">
        <f>AW277</f>
        <v>0</v>
      </c>
      <c r="AW277" s="212">
        <v>0</v>
      </c>
      <c r="AX277" s="212"/>
      <c r="AY277" s="212"/>
      <c r="AZ277" s="261"/>
      <c r="BA277" s="201"/>
    </row>
    <row r="278" spans="1:53" s="262" customFormat="1" ht="39" customHeight="1">
      <c r="A278" s="209"/>
      <c r="B278" s="236" t="s">
        <v>169</v>
      </c>
      <c r="C278" s="243"/>
      <c r="D278" s="243"/>
      <c r="E278" s="319"/>
      <c r="F278" s="243"/>
      <c r="G278" s="243"/>
      <c r="H278" s="243"/>
      <c r="I278" s="248"/>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61"/>
      <c r="BA278" s="201"/>
    </row>
    <row r="279" spans="1:53" s="257" customFormat="1" ht="34.5" customHeight="1">
      <c r="A279" s="209">
        <v>1</v>
      </c>
      <c r="B279" s="289" t="s">
        <v>1055</v>
      </c>
      <c r="C279" s="243" t="s">
        <v>972</v>
      </c>
      <c r="D279" s="255"/>
      <c r="E279" s="243" t="s">
        <v>812</v>
      </c>
      <c r="F279" s="255"/>
      <c r="G279" s="255"/>
      <c r="H279" s="243" t="s">
        <v>970</v>
      </c>
      <c r="I279" s="617" t="s">
        <v>971</v>
      </c>
      <c r="J279" s="618">
        <f>K279</f>
        <v>68694</v>
      </c>
      <c r="K279" s="618">
        <v>68694</v>
      </c>
      <c r="L279" s="277"/>
      <c r="M279" s="277"/>
      <c r="N279" s="277"/>
      <c r="O279" s="277"/>
      <c r="P279" s="277"/>
      <c r="Q279" s="277"/>
      <c r="R279" s="212">
        <f>+S279</f>
        <v>6485</v>
      </c>
      <c r="S279" s="212">
        <v>6485</v>
      </c>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f>+AW279</f>
        <v>500</v>
      </c>
      <c r="AW279" s="212">
        <v>500</v>
      </c>
      <c r="AX279" s="212"/>
      <c r="AY279" s="212"/>
      <c r="AZ279" s="243" t="s">
        <v>944</v>
      </c>
      <c r="BA279" s="533"/>
    </row>
    <row r="280" spans="1:53" s="262" customFormat="1" ht="25.5" customHeight="1">
      <c r="A280" s="209"/>
      <c r="B280" s="267"/>
      <c r="C280" s="243"/>
      <c r="D280" s="243"/>
      <c r="E280" s="243"/>
      <c r="F280" s="243"/>
      <c r="G280" s="243"/>
      <c r="H280" s="243"/>
      <c r="I280" s="248"/>
      <c r="J280" s="212"/>
      <c r="K280" s="212"/>
      <c r="L280" s="212"/>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43"/>
      <c r="BA280" s="201"/>
    </row>
    <row r="281" spans="1:53" s="262" customFormat="1" ht="14.1" hidden="1" customHeight="1">
      <c r="A281" s="209">
        <v>6</v>
      </c>
      <c r="B281" s="267" t="s">
        <v>532</v>
      </c>
      <c r="C281" s="243" t="s">
        <v>448</v>
      </c>
      <c r="D281" s="243"/>
      <c r="E281" s="243"/>
      <c r="F281" s="243"/>
      <c r="G281" s="243"/>
      <c r="H281" s="243"/>
      <c r="I281" s="248"/>
      <c r="J281" s="212"/>
      <c r="K281" s="212"/>
      <c r="L281" s="212"/>
      <c r="M281" s="212"/>
      <c r="N281" s="212"/>
      <c r="O281" s="212"/>
      <c r="P281" s="212">
        <f>L281+W281</f>
        <v>0</v>
      </c>
      <c r="Q281" s="212">
        <f>M281+X281</f>
        <v>0</v>
      </c>
      <c r="R281" s="212">
        <v>4298</v>
      </c>
      <c r="S281" s="212">
        <v>4298</v>
      </c>
      <c r="T281" s="212"/>
      <c r="U281" s="212"/>
      <c r="V281" s="212"/>
      <c r="W281" s="212"/>
      <c r="X281" s="212"/>
      <c r="Y281" s="212"/>
      <c r="Z281" s="212"/>
      <c r="AA281" s="212"/>
      <c r="AB281" s="212"/>
      <c r="AC281" s="212"/>
      <c r="AD281" s="212"/>
      <c r="AE281" s="212"/>
      <c r="AF281" s="212"/>
      <c r="AG281" s="212">
        <f t="shared" si="392"/>
        <v>0</v>
      </c>
      <c r="AH281" s="212">
        <f t="shared" si="393"/>
        <v>0</v>
      </c>
      <c r="AI281" s="212"/>
      <c r="AJ281" s="212"/>
      <c r="AK281" s="212">
        <f t="shared" si="424"/>
        <v>0</v>
      </c>
      <c r="AL281" s="212">
        <f t="shared" si="425"/>
        <v>0</v>
      </c>
      <c r="AM281" s="212">
        <f t="shared" si="426"/>
        <v>0</v>
      </c>
      <c r="AN281" s="212">
        <f t="shared" si="427"/>
        <v>0</v>
      </c>
      <c r="AO281" s="212"/>
      <c r="AP281" s="212"/>
      <c r="AQ281" s="212"/>
      <c r="AR281" s="212"/>
      <c r="AS281" s="212"/>
      <c r="AT281" s="212"/>
      <c r="AU281" s="212"/>
      <c r="AV281" s="212"/>
      <c r="AW281" s="212"/>
      <c r="AX281" s="212"/>
      <c r="AY281" s="212"/>
      <c r="AZ281" s="682" t="s">
        <v>533</v>
      </c>
      <c r="BA281" s="201"/>
    </row>
    <row r="282" spans="1:53" s="262" customFormat="1" ht="30" hidden="1">
      <c r="A282" s="209">
        <v>7</v>
      </c>
      <c r="B282" s="267" t="s">
        <v>534</v>
      </c>
      <c r="C282" s="243" t="s">
        <v>448</v>
      </c>
      <c r="D282" s="243"/>
      <c r="E282" s="243"/>
      <c r="F282" s="243"/>
      <c r="G282" s="243"/>
      <c r="H282" s="243"/>
      <c r="I282" s="248"/>
      <c r="J282" s="212"/>
      <c r="K282" s="212"/>
      <c r="L282" s="212"/>
      <c r="M282" s="212"/>
      <c r="N282" s="212"/>
      <c r="O282" s="212"/>
      <c r="P282" s="212">
        <f>L282+W282</f>
        <v>0</v>
      </c>
      <c r="Q282" s="212">
        <f>M282+X282</f>
        <v>0</v>
      </c>
      <c r="R282" s="212">
        <v>5000</v>
      </c>
      <c r="S282" s="212">
        <v>5000</v>
      </c>
      <c r="T282" s="212"/>
      <c r="U282" s="212"/>
      <c r="V282" s="212"/>
      <c r="W282" s="212"/>
      <c r="X282" s="212"/>
      <c r="Y282" s="212"/>
      <c r="Z282" s="212"/>
      <c r="AA282" s="212"/>
      <c r="AB282" s="212"/>
      <c r="AC282" s="212"/>
      <c r="AD282" s="212"/>
      <c r="AE282" s="212"/>
      <c r="AF282" s="212"/>
      <c r="AG282" s="212">
        <f t="shared" si="392"/>
        <v>0</v>
      </c>
      <c r="AH282" s="212">
        <f t="shared" si="393"/>
        <v>0</v>
      </c>
      <c r="AI282" s="212"/>
      <c r="AJ282" s="212"/>
      <c r="AK282" s="212">
        <f t="shared" si="424"/>
        <v>0</v>
      </c>
      <c r="AL282" s="212">
        <f t="shared" si="425"/>
        <v>0</v>
      </c>
      <c r="AM282" s="212">
        <f t="shared" si="426"/>
        <v>0</v>
      </c>
      <c r="AN282" s="212">
        <f t="shared" si="427"/>
        <v>0</v>
      </c>
      <c r="AO282" s="212"/>
      <c r="AP282" s="212"/>
      <c r="AQ282" s="212"/>
      <c r="AR282" s="212"/>
      <c r="AS282" s="212"/>
      <c r="AT282" s="212"/>
      <c r="AU282" s="212"/>
      <c r="AV282" s="212"/>
      <c r="AW282" s="212"/>
      <c r="AX282" s="212"/>
      <c r="AY282" s="212"/>
      <c r="AZ282" s="682"/>
      <c r="BA282" s="201"/>
    </row>
    <row r="283" spans="1:53" s="232" customFormat="1" ht="28.5" customHeight="1">
      <c r="A283" s="275"/>
      <c r="B283" s="228" t="s">
        <v>327</v>
      </c>
      <c r="C283" s="229"/>
      <c r="D283" s="229"/>
      <c r="E283" s="229"/>
      <c r="F283" s="229"/>
      <c r="G283" s="229"/>
      <c r="H283" s="229"/>
      <c r="I283" s="231"/>
      <c r="J283" s="215"/>
      <c r="K283" s="215"/>
      <c r="L283" s="215"/>
      <c r="M283" s="215"/>
      <c r="N283" s="215"/>
      <c r="O283" s="215"/>
      <c r="P283" s="212"/>
      <c r="Q283" s="212"/>
      <c r="R283" s="215"/>
      <c r="S283" s="215"/>
      <c r="T283" s="215"/>
      <c r="U283" s="215"/>
      <c r="V283" s="215"/>
      <c r="W283" s="215"/>
      <c r="X283" s="215"/>
      <c r="Y283" s="215"/>
      <c r="Z283" s="215"/>
      <c r="AA283" s="215"/>
      <c r="AB283" s="215"/>
      <c r="AC283" s="215"/>
      <c r="AD283" s="215"/>
      <c r="AE283" s="215"/>
      <c r="AF283" s="215"/>
      <c r="AG283" s="215"/>
      <c r="AH283" s="215"/>
      <c r="AI283" s="215"/>
      <c r="AJ283" s="215"/>
      <c r="AK283" s="215"/>
      <c r="AL283" s="215"/>
      <c r="AM283" s="215"/>
      <c r="AN283" s="215"/>
      <c r="AO283" s="215"/>
      <c r="AP283" s="215">
        <v>5022.4620877509369</v>
      </c>
      <c r="AQ283" s="215"/>
      <c r="AR283" s="215"/>
      <c r="AS283" s="215"/>
      <c r="AT283" s="215"/>
      <c r="AU283" s="215"/>
      <c r="AV283" s="215"/>
      <c r="AW283" s="215">
        <v>5212</v>
      </c>
      <c r="AX283" s="215"/>
      <c r="AY283" s="215"/>
      <c r="AZ283" s="213"/>
    </row>
    <row r="284" spans="1:53" s="251" customFormat="1" ht="31.5" customHeight="1">
      <c r="A284" s="263" t="s">
        <v>535</v>
      </c>
      <c r="B284" s="253" t="s">
        <v>536</v>
      </c>
      <c r="C284" s="229"/>
      <c r="D284" s="229"/>
      <c r="E284" s="229"/>
      <c r="F284" s="229"/>
      <c r="G284" s="235"/>
      <c r="H284" s="229"/>
      <c r="I284" s="215">
        <v>0</v>
      </c>
      <c r="J284" s="215">
        <v>0</v>
      </c>
      <c r="K284" s="215">
        <v>0</v>
      </c>
      <c r="L284" s="215">
        <f t="shared" ref="L284:Q284" si="481">L285</f>
        <v>0</v>
      </c>
      <c r="M284" s="215">
        <f t="shared" si="481"/>
        <v>0</v>
      </c>
      <c r="N284" s="215">
        <f t="shared" si="481"/>
        <v>0</v>
      </c>
      <c r="O284" s="215">
        <f t="shared" si="481"/>
        <v>0</v>
      </c>
      <c r="P284" s="215">
        <f t="shared" si="481"/>
        <v>0</v>
      </c>
      <c r="Q284" s="215">
        <f t="shared" si="481"/>
        <v>0</v>
      </c>
      <c r="R284" s="215">
        <f>R285+R291</f>
        <v>22931</v>
      </c>
      <c r="S284" s="215">
        <f t="shared" ref="S284:AW284" si="482">S285+S291</f>
        <v>22931</v>
      </c>
      <c r="T284" s="215">
        <f t="shared" si="482"/>
        <v>0</v>
      </c>
      <c r="U284" s="215">
        <f t="shared" si="482"/>
        <v>0</v>
      </c>
      <c r="V284" s="215">
        <f t="shared" si="482"/>
        <v>0</v>
      </c>
      <c r="W284" s="215">
        <f t="shared" si="482"/>
        <v>0</v>
      </c>
      <c r="X284" s="215">
        <f t="shared" si="482"/>
        <v>0</v>
      </c>
      <c r="Y284" s="215">
        <f t="shared" si="482"/>
        <v>0</v>
      </c>
      <c r="Z284" s="215">
        <f t="shared" si="482"/>
        <v>0</v>
      </c>
      <c r="AA284" s="215">
        <f t="shared" si="482"/>
        <v>767</v>
      </c>
      <c r="AB284" s="215">
        <f t="shared" si="482"/>
        <v>767</v>
      </c>
      <c r="AC284" s="215">
        <f t="shared" si="482"/>
        <v>0</v>
      </c>
      <c r="AD284" s="215">
        <f t="shared" si="482"/>
        <v>0</v>
      </c>
      <c r="AE284" s="215">
        <f t="shared" si="482"/>
        <v>0</v>
      </c>
      <c r="AF284" s="215">
        <f t="shared" si="482"/>
        <v>0</v>
      </c>
      <c r="AG284" s="215">
        <f t="shared" si="482"/>
        <v>767</v>
      </c>
      <c r="AH284" s="215">
        <f t="shared" si="482"/>
        <v>767</v>
      </c>
      <c r="AI284" s="215">
        <f t="shared" si="482"/>
        <v>0</v>
      </c>
      <c r="AJ284" s="215">
        <f t="shared" si="482"/>
        <v>0</v>
      </c>
      <c r="AK284" s="215">
        <f t="shared" si="482"/>
        <v>5022</v>
      </c>
      <c r="AL284" s="215">
        <f t="shared" si="482"/>
        <v>5022</v>
      </c>
      <c r="AM284" s="215">
        <f t="shared" si="482"/>
        <v>0</v>
      </c>
      <c r="AN284" s="215">
        <f t="shared" si="482"/>
        <v>0</v>
      </c>
      <c r="AO284" s="215">
        <f t="shared" si="482"/>
        <v>5022</v>
      </c>
      <c r="AP284" s="215">
        <f t="shared" si="482"/>
        <v>5022</v>
      </c>
      <c r="AQ284" s="215">
        <f t="shared" si="482"/>
        <v>0</v>
      </c>
      <c r="AR284" s="215">
        <f t="shared" si="482"/>
        <v>0</v>
      </c>
      <c r="AS284" s="215">
        <f t="shared" si="482"/>
        <v>5022</v>
      </c>
      <c r="AT284" s="215">
        <f t="shared" si="482"/>
        <v>5789</v>
      </c>
      <c r="AU284" s="215">
        <f t="shared" si="482"/>
        <v>5789</v>
      </c>
      <c r="AV284" s="215">
        <f t="shared" si="482"/>
        <v>5212</v>
      </c>
      <c r="AW284" s="215">
        <f t="shared" si="482"/>
        <v>5212</v>
      </c>
      <c r="AX284" s="215"/>
      <c r="AY284" s="215"/>
      <c r="AZ284" s="265"/>
      <c r="BA284" s="232"/>
    </row>
    <row r="285" spans="1:53" s="251" customFormat="1" ht="34.5" customHeight="1">
      <c r="A285" s="227" t="s">
        <v>46</v>
      </c>
      <c r="B285" s="234" t="s">
        <v>170</v>
      </c>
      <c r="C285" s="229"/>
      <c r="D285" s="229"/>
      <c r="E285" s="229"/>
      <c r="F285" s="229"/>
      <c r="G285" s="229"/>
      <c r="H285" s="229"/>
      <c r="I285" s="231"/>
      <c r="J285" s="215">
        <f>J286</f>
        <v>11066</v>
      </c>
      <c r="K285" s="215">
        <f t="shared" ref="K285:AW285" si="483">K286</f>
        <v>11066</v>
      </c>
      <c r="L285" s="215">
        <f t="shared" si="483"/>
        <v>0</v>
      </c>
      <c r="M285" s="215">
        <f t="shared" si="483"/>
        <v>0</v>
      </c>
      <c r="N285" s="215">
        <f t="shared" si="483"/>
        <v>0</v>
      </c>
      <c r="O285" s="215">
        <f t="shared" si="483"/>
        <v>0</v>
      </c>
      <c r="P285" s="215">
        <f t="shared" si="483"/>
        <v>0</v>
      </c>
      <c r="Q285" s="215">
        <f t="shared" si="483"/>
        <v>0</v>
      </c>
      <c r="R285" s="215">
        <f t="shared" si="483"/>
        <v>11216</v>
      </c>
      <c r="S285" s="215">
        <f t="shared" si="483"/>
        <v>11216</v>
      </c>
      <c r="T285" s="215">
        <f t="shared" si="483"/>
        <v>0</v>
      </c>
      <c r="U285" s="215">
        <f t="shared" si="483"/>
        <v>0</v>
      </c>
      <c r="V285" s="215">
        <f t="shared" si="483"/>
        <v>0</v>
      </c>
      <c r="W285" s="215">
        <f t="shared" si="483"/>
        <v>0</v>
      </c>
      <c r="X285" s="215">
        <f t="shared" si="483"/>
        <v>0</v>
      </c>
      <c r="Y285" s="215">
        <f t="shared" si="483"/>
        <v>0</v>
      </c>
      <c r="Z285" s="215">
        <f t="shared" si="483"/>
        <v>0</v>
      </c>
      <c r="AA285" s="215">
        <f t="shared" si="483"/>
        <v>767</v>
      </c>
      <c r="AB285" s="215">
        <f t="shared" si="483"/>
        <v>767</v>
      </c>
      <c r="AC285" s="215">
        <f t="shared" si="483"/>
        <v>0</v>
      </c>
      <c r="AD285" s="215">
        <f t="shared" si="483"/>
        <v>0</v>
      </c>
      <c r="AE285" s="215">
        <f t="shared" si="483"/>
        <v>0</v>
      </c>
      <c r="AF285" s="215">
        <f t="shared" si="483"/>
        <v>0</v>
      </c>
      <c r="AG285" s="215">
        <f t="shared" si="483"/>
        <v>767</v>
      </c>
      <c r="AH285" s="215">
        <f t="shared" si="483"/>
        <v>767</v>
      </c>
      <c r="AI285" s="215"/>
      <c r="AJ285" s="215"/>
      <c r="AK285" s="215">
        <f t="shared" si="483"/>
        <v>5022</v>
      </c>
      <c r="AL285" s="215">
        <f t="shared" si="483"/>
        <v>5022</v>
      </c>
      <c r="AM285" s="215">
        <f t="shared" si="483"/>
        <v>0</v>
      </c>
      <c r="AN285" s="215">
        <f t="shared" si="483"/>
        <v>0</v>
      </c>
      <c r="AO285" s="215">
        <f t="shared" si="483"/>
        <v>5022</v>
      </c>
      <c r="AP285" s="215">
        <f t="shared" si="483"/>
        <v>5022</v>
      </c>
      <c r="AQ285" s="215">
        <f t="shared" si="483"/>
        <v>0</v>
      </c>
      <c r="AR285" s="215">
        <f t="shared" si="483"/>
        <v>0</v>
      </c>
      <c r="AS285" s="215">
        <f t="shared" si="483"/>
        <v>5022</v>
      </c>
      <c r="AT285" s="215">
        <f t="shared" si="483"/>
        <v>5789</v>
      </c>
      <c r="AU285" s="215">
        <f t="shared" si="483"/>
        <v>5789</v>
      </c>
      <c r="AV285" s="215">
        <f t="shared" si="483"/>
        <v>4912</v>
      </c>
      <c r="AW285" s="215">
        <f t="shared" si="483"/>
        <v>4912</v>
      </c>
      <c r="AX285" s="215"/>
      <c r="AY285" s="215"/>
      <c r="AZ285" s="265"/>
      <c r="BA285" s="232"/>
    </row>
    <row r="286" spans="1:53" s="251" customFormat="1" ht="27" customHeight="1">
      <c r="A286" s="275" t="s">
        <v>35</v>
      </c>
      <c r="B286" s="236" t="s">
        <v>629</v>
      </c>
      <c r="C286" s="229"/>
      <c r="D286" s="229"/>
      <c r="E286" s="229"/>
      <c r="F286" s="229"/>
      <c r="G286" s="229"/>
      <c r="H286" s="229"/>
      <c r="I286" s="231"/>
      <c r="J286" s="215">
        <f>SUM(J287:J290)</f>
        <v>11066</v>
      </c>
      <c r="K286" s="215">
        <f t="shared" ref="K286:Q286" si="484">SUM(K287:K290)</f>
        <v>11066</v>
      </c>
      <c r="L286" s="215">
        <f t="shared" si="484"/>
        <v>0</v>
      </c>
      <c r="M286" s="215">
        <f t="shared" si="484"/>
        <v>0</v>
      </c>
      <c r="N286" s="215">
        <f t="shared" si="484"/>
        <v>0</v>
      </c>
      <c r="O286" s="215">
        <f t="shared" si="484"/>
        <v>0</v>
      </c>
      <c r="P286" s="215">
        <f t="shared" si="484"/>
        <v>0</v>
      </c>
      <c r="Q286" s="215">
        <f t="shared" si="484"/>
        <v>0</v>
      </c>
      <c r="R286" s="215">
        <f t="shared" ref="R286:AR286" si="485">SUM(R287:R290)</f>
        <v>11216</v>
      </c>
      <c r="S286" s="215">
        <f t="shared" si="485"/>
        <v>11216</v>
      </c>
      <c r="T286" s="215">
        <f t="shared" si="485"/>
        <v>0</v>
      </c>
      <c r="U286" s="215">
        <f t="shared" si="485"/>
        <v>0</v>
      </c>
      <c r="V286" s="215">
        <f t="shared" si="485"/>
        <v>0</v>
      </c>
      <c r="W286" s="215">
        <f t="shared" si="485"/>
        <v>0</v>
      </c>
      <c r="X286" s="215">
        <f t="shared" si="485"/>
        <v>0</v>
      </c>
      <c r="Y286" s="215">
        <f t="shared" si="485"/>
        <v>0</v>
      </c>
      <c r="Z286" s="215">
        <f t="shared" si="485"/>
        <v>0</v>
      </c>
      <c r="AA286" s="215">
        <f t="shared" si="485"/>
        <v>767</v>
      </c>
      <c r="AB286" s="215">
        <f t="shared" si="485"/>
        <v>767</v>
      </c>
      <c r="AC286" s="215">
        <f t="shared" si="485"/>
        <v>0</v>
      </c>
      <c r="AD286" s="215">
        <f t="shared" si="485"/>
        <v>0</v>
      </c>
      <c r="AE286" s="215">
        <f t="shared" si="485"/>
        <v>0</v>
      </c>
      <c r="AF286" s="215">
        <f t="shared" si="485"/>
        <v>0</v>
      </c>
      <c r="AG286" s="215">
        <f t="shared" si="485"/>
        <v>767</v>
      </c>
      <c r="AH286" s="215">
        <f t="shared" si="485"/>
        <v>767</v>
      </c>
      <c r="AI286" s="215">
        <f t="shared" si="485"/>
        <v>0</v>
      </c>
      <c r="AJ286" s="215">
        <f t="shared" si="485"/>
        <v>0</v>
      </c>
      <c r="AK286" s="215">
        <f t="shared" si="485"/>
        <v>5022</v>
      </c>
      <c r="AL286" s="215">
        <f t="shared" si="485"/>
        <v>5022</v>
      </c>
      <c r="AM286" s="215">
        <f t="shared" si="485"/>
        <v>0</v>
      </c>
      <c r="AN286" s="215">
        <f t="shared" si="485"/>
        <v>0</v>
      </c>
      <c r="AO286" s="215">
        <f t="shared" si="485"/>
        <v>5022</v>
      </c>
      <c r="AP286" s="215">
        <f>SUM(AP287:AP290)</f>
        <v>5022</v>
      </c>
      <c r="AQ286" s="215">
        <f t="shared" si="485"/>
        <v>0</v>
      </c>
      <c r="AR286" s="215">
        <f t="shared" si="485"/>
        <v>0</v>
      </c>
      <c r="AS286" s="215">
        <f t="shared" ref="AS286:AW286" si="486">SUM(AS287:AS290)</f>
        <v>5022</v>
      </c>
      <c r="AT286" s="215">
        <f t="shared" si="486"/>
        <v>5789</v>
      </c>
      <c r="AU286" s="215">
        <f t="shared" si="486"/>
        <v>5789</v>
      </c>
      <c r="AV286" s="215">
        <f t="shared" si="486"/>
        <v>4912</v>
      </c>
      <c r="AW286" s="215">
        <f t="shared" si="486"/>
        <v>4912</v>
      </c>
      <c r="AX286" s="215"/>
      <c r="AY286" s="215"/>
      <c r="AZ286" s="265"/>
      <c r="BA286" s="232"/>
    </row>
    <row r="287" spans="1:53" s="262" customFormat="1" ht="36" customHeight="1">
      <c r="A287" s="258">
        <v>1</v>
      </c>
      <c r="B287" s="308" t="s">
        <v>538</v>
      </c>
      <c r="C287" s="243" t="s">
        <v>537</v>
      </c>
      <c r="D287" s="243"/>
      <c r="E287" s="243" t="s">
        <v>824</v>
      </c>
      <c r="F287" s="243"/>
      <c r="G287" s="243"/>
      <c r="H287" s="303" t="s">
        <v>791</v>
      </c>
      <c r="I287" s="581" t="s">
        <v>954</v>
      </c>
      <c r="J287" s="489">
        <v>4500</v>
      </c>
      <c r="K287" s="489">
        <v>4500</v>
      </c>
      <c r="L287" s="212"/>
      <c r="M287" s="212"/>
      <c r="N287" s="212"/>
      <c r="O287" s="212"/>
      <c r="P287" s="212">
        <f t="shared" ref="P287:Q290" si="487">L287+W287</f>
        <v>0</v>
      </c>
      <c r="Q287" s="212">
        <f t="shared" si="487"/>
        <v>0</v>
      </c>
      <c r="R287" s="212">
        <f>+S287</f>
        <v>4500</v>
      </c>
      <c r="S287" s="212">
        <v>4500</v>
      </c>
      <c r="T287" s="212"/>
      <c r="U287" s="212"/>
      <c r="V287" s="212"/>
      <c r="W287" s="212"/>
      <c r="X287" s="212"/>
      <c r="Y287" s="212"/>
      <c r="Z287" s="212"/>
      <c r="AA287" s="212">
        <v>300</v>
      </c>
      <c r="AB287" s="212">
        <v>300</v>
      </c>
      <c r="AC287" s="212"/>
      <c r="AD287" s="212"/>
      <c r="AE287" s="212"/>
      <c r="AF287" s="212"/>
      <c r="AG287" s="212">
        <f t="shared" si="392"/>
        <v>300</v>
      </c>
      <c r="AH287" s="212">
        <f t="shared" si="393"/>
        <v>300</v>
      </c>
      <c r="AI287" s="212"/>
      <c r="AJ287" s="212"/>
      <c r="AK287" s="212">
        <f t="shared" si="424"/>
        <v>1500</v>
      </c>
      <c r="AL287" s="212">
        <f t="shared" si="425"/>
        <v>1500</v>
      </c>
      <c r="AM287" s="212">
        <f t="shared" si="426"/>
        <v>0</v>
      </c>
      <c r="AN287" s="212">
        <f t="shared" si="427"/>
        <v>0</v>
      </c>
      <c r="AO287" s="212">
        <f>AP287</f>
        <v>1500</v>
      </c>
      <c r="AP287" s="212">
        <v>1500</v>
      </c>
      <c r="AQ287" s="212"/>
      <c r="AR287" s="212"/>
      <c r="AS287" s="212">
        <f t="shared" ref="AS287" si="488">V287+AP287</f>
        <v>1500</v>
      </c>
      <c r="AT287" s="212">
        <f t="shared" ref="AT287" si="489">AU287</f>
        <v>1800</v>
      </c>
      <c r="AU287" s="212">
        <f t="shared" ref="AU287" si="490">AH287+AP287</f>
        <v>1800</v>
      </c>
      <c r="AV287" s="212">
        <f t="shared" ref="AV287" si="491">AW287</f>
        <v>2600</v>
      </c>
      <c r="AW287" s="212">
        <v>2600</v>
      </c>
      <c r="AX287" s="212"/>
      <c r="AY287" s="212"/>
      <c r="AZ287" s="261"/>
      <c r="BA287" s="201"/>
    </row>
    <row r="288" spans="1:53" s="262" customFormat="1" ht="34.5" customHeight="1">
      <c r="A288" s="258">
        <v>2</v>
      </c>
      <c r="B288" s="308" t="s">
        <v>539</v>
      </c>
      <c r="C288" s="243" t="s">
        <v>537</v>
      </c>
      <c r="D288" s="243"/>
      <c r="E288" s="243" t="s">
        <v>824</v>
      </c>
      <c r="F288" s="243"/>
      <c r="G288" s="243"/>
      <c r="H288" s="303" t="s">
        <v>791</v>
      </c>
      <c r="I288" s="581" t="s">
        <v>955</v>
      </c>
      <c r="J288" s="489">
        <f>K288</f>
        <v>3916</v>
      </c>
      <c r="K288" s="489">
        <v>3916</v>
      </c>
      <c r="L288" s="212"/>
      <c r="M288" s="212"/>
      <c r="N288" s="212"/>
      <c r="O288" s="212"/>
      <c r="P288" s="212">
        <f t="shared" si="487"/>
        <v>0</v>
      </c>
      <c r="Q288" s="212">
        <f t="shared" si="487"/>
        <v>0</v>
      </c>
      <c r="R288" s="212">
        <f>+S288</f>
        <v>3916</v>
      </c>
      <c r="S288" s="212">
        <v>3916</v>
      </c>
      <c r="T288" s="212" t="s">
        <v>311</v>
      </c>
      <c r="U288" s="212"/>
      <c r="V288" s="212"/>
      <c r="W288" s="212"/>
      <c r="X288" s="212"/>
      <c r="Y288" s="212"/>
      <c r="Z288" s="212"/>
      <c r="AA288" s="212">
        <v>250</v>
      </c>
      <c r="AB288" s="212">
        <v>250</v>
      </c>
      <c r="AC288" s="212"/>
      <c r="AD288" s="212"/>
      <c r="AE288" s="212"/>
      <c r="AF288" s="212"/>
      <c r="AG288" s="212">
        <f t="shared" si="392"/>
        <v>250</v>
      </c>
      <c r="AH288" s="212">
        <f t="shared" si="393"/>
        <v>250</v>
      </c>
      <c r="AI288" s="212"/>
      <c r="AJ288" s="212"/>
      <c r="AK288" s="212">
        <f t="shared" si="424"/>
        <v>1222</v>
      </c>
      <c r="AL288" s="212">
        <f t="shared" si="425"/>
        <v>1222</v>
      </c>
      <c r="AM288" s="212">
        <f t="shared" si="426"/>
        <v>0</v>
      </c>
      <c r="AN288" s="212">
        <f t="shared" si="427"/>
        <v>0</v>
      </c>
      <c r="AO288" s="212">
        <f>AP288</f>
        <v>1222</v>
      </c>
      <c r="AP288" s="212">
        <v>1222</v>
      </c>
      <c r="AQ288" s="212"/>
      <c r="AR288" s="212"/>
      <c r="AS288" s="212">
        <f t="shared" ref="AS288:AS290" si="492">V288+AP288</f>
        <v>1222</v>
      </c>
      <c r="AT288" s="212">
        <f t="shared" ref="AT288:AT290" si="493">AU288</f>
        <v>1472</v>
      </c>
      <c r="AU288" s="212">
        <f t="shared" ref="AU288:AU290" si="494">AH288+AP288</f>
        <v>1472</v>
      </c>
      <c r="AV288" s="212">
        <f t="shared" ref="AV288:AV289" si="495">AW288</f>
        <v>2179</v>
      </c>
      <c r="AW288" s="212">
        <v>2179</v>
      </c>
      <c r="AX288" s="212"/>
      <c r="AY288" s="212"/>
      <c r="AZ288" s="261"/>
      <c r="BA288" s="201"/>
    </row>
    <row r="289" spans="1:53" s="262" customFormat="1" ht="42" customHeight="1">
      <c r="A289" s="258">
        <v>3</v>
      </c>
      <c r="B289" s="308" t="s">
        <v>540</v>
      </c>
      <c r="C289" s="243" t="s">
        <v>537</v>
      </c>
      <c r="D289" s="243"/>
      <c r="E289" s="243" t="s">
        <v>824</v>
      </c>
      <c r="F289" s="243"/>
      <c r="G289" s="243"/>
      <c r="H289" s="303" t="s">
        <v>791</v>
      </c>
      <c r="I289" s="581" t="s">
        <v>956</v>
      </c>
      <c r="J289" s="489">
        <v>1350</v>
      </c>
      <c r="K289" s="489">
        <v>1350</v>
      </c>
      <c r="L289" s="212"/>
      <c r="M289" s="212"/>
      <c r="N289" s="212"/>
      <c r="O289" s="212"/>
      <c r="P289" s="212">
        <f t="shared" si="487"/>
        <v>0</v>
      </c>
      <c r="Q289" s="212">
        <f t="shared" si="487"/>
        <v>0</v>
      </c>
      <c r="R289" s="212">
        <v>1500</v>
      </c>
      <c r="S289" s="212">
        <v>1500</v>
      </c>
      <c r="T289" s="212"/>
      <c r="U289" s="212"/>
      <c r="V289" s="212"/>
      <c r="W289" s="212"/>
      <c r="X289" s="212"/>
      <c r="Y289" s="212"/>
      <c r="Z289" s="212"/>
      <c r="AA289" s="212">
        <v>117</v>
      </c>
      <c r="AB289" s="212">
        <v>117</v>
      </c>
      <c r="AC289" s="212"/>
      <c r="AD289" s="212"/>
      <c r="AE289" s="212"/>
      <c r="AF289" s="212"/>
      <c r="AG289" s="212">
        <f t="shared" si="392"/>
        <v>117</v>
      </c>
      <c r="AH289" s="212">
        <f t="shared" si="393"/>
        <v>117</v>
      </c>
      <c r="AI289" s="212"/>
      <c r="AJ289" s="212"/>
      <c r="AK289" s="212">
        <f t="shared" si="424"/>
        <v>1150</v>
      </c>
      <c r="AL289" s="212">
        <f t="shared" si="425"/>
        <v>1150</v>
      </c>
      <c r="AM289" s="212">
        <f t="shared" si="426"/>
        <v>0</v>
      </c>
      <c r="AN289" s="212">
        <f t="shared" si="427"/>
        <v>0</v>
      </c>
      <c r="AO289" s="212">
        <f>AP289</f>
        <v>1150</v>
      </c>
      <c r="AP289" s="212">
        <v>1150</v>
      </c>
      <c r="AQ289" s="212"/>
      <c r="AR289" s="212"/>
      <c r="AS289" s="212">
        <f t="shared" si="492"/>
        <v>1150</v>
      </c>
      <c r="AT289" s="212">
        <f t="shared" si="493"/>
        <v>1267</v>
      </c>
      <c r="AU289" s="212">
        <f t="shared" si="494"/>
        <v>1267</v>
      </c>
      <c r="AV289" s="212">
        <f t="shared" si="495"/>
        <v>83</v>
      </c>
      <c r="AW289" s="212">
        <v>83</v>
      </c>
      <c r="AX289" s="212"/>
      <c r="AY289" s="212"/>
      <c r="AZ289" s="261"/>
      <c r="BA289" s="201"/>
    </row>
    <row r="290" spans="1:53" s="262" customFormat="1" ht="40.5" customHeight="1">
      <c r="A290" s="258">
        <v>4</v>
      </c>
      <c r="B290" s="274" t="s">
        <v>541</v>
      </c>
      <c r="C290" s="243" t="s">
        <v>537</v>
      </c>
      <c r="D290" s="243"/>
      <c r="E290" s="243" t="s">
        <v>824</v>
      </c>
      <c r="F290" s="243"/>
      <c r="G290" s="243"/>
      <c r="H290" s="303" t="s">
        <v>781</v>
      </c>
      <c r="I290" s="303" t="s">
        <v>945</v>
      </c>
      <c r="J290" s="489">
        <f>+K290</f>
        <v>1300</v>
      </c>
      <c r="K290" s="489">
        <v>1300</v>
      </c>
      <c r="L290" s="212"/>
      <c r="M290" s="212"/>
      <c r="N290" s="212"/>
      <c r="O290" s="212"/>
      <c r="P290" s="212">
        <f t="shared" si="487"/>
        <v>0</v>
      </c>
      <c r="Q290" s="212">
        <f t="shared" si="487"/>
        <v>0</v>
      </c>
      <c r="R290" s="212">
        <v>1300</v>
      </c>
      <c r="S290" s="212">
        <v>1300</v>
      </c>
      <c r="T290" s="212"/>
      <c r="U290" s="212"/>
      <c r="V290" s="212"/>
      <c r="W290" s="212"/>
      <c r="X290" s="212"/>
      <c r="Y290" s="212"/>
      <c r="Z290" s="212"/>
      <c r="AA290" s="212">
        <v>100</v>
      </c>
      <c r="AB290" s="212">
        <v>100</v>
      </c>
      <c r="AC290" s="212"/>
      <c r="AD290" s="212"/>
      <c r="AE290" s="212"/>
      <c r="AF290" s="212"/>
      <c r="AG290" s="212">
        <f t="shared" ref="AG290:AG330" si="496">W290+AA290</f>
        <v>100</v>
      </c>
      <c r="AH290" s="212">
        <f t="shared" ref="AH290:AH330" si="497">X290+AB290</f>
        <v>100</v>
      </c>
      <c r="AI290" s="212"/>
      <c r="AJ290" s="212"/>
      <c r="AK290" s="212">
        <f t="shared" si="424"/>
        <v>1150</v>
      </c>
      <c r="AL290" s="212">
        <f t="shared" si="425"/>
        <v>1150</v>
      </c>
      <c r="AM290" s="212">
        <f t="shared" si="426"/>
        <v>0</v>
      </c>
      <c r="AN290" s="212">
        <f t="shared" si="427"/>
        <v>0</v>
      </c>
      <c r="AO290" s="212">
        <f>AP290</f>
        <v>1150</v>
      </c>
      <c r="AP290" s="212">
        <v>1150</v>
      </c>
      <c r="AQ290" s="212"/>
      <c r="AR290" s="212"/>
      <c r="AS290" s="212">
        <f t="shared" si="492"/>
        <v>1150</v>
      </c>
      <c r="AT290" s="212">
        <f t="shared" si="493"/>
        <v>1250</v>
      </c>
      <c r="AU290" s="212">
        <f t="shared" si="494"/>
        <v>1250</v>
      </c>
      <c r="AV290" s="212">
        <f>+AW290</f>
        <v>50</v>
      </c>
      <c r="AW290" s="212">
        <v>50</v>
      </c>
      <c r="AX290" s="212"/>
      <c r="AY290" s="212"/>
      <c r="AZ290" s="261"/>
      <c r="BA290" s="201"/>
    </row>
    <row r="291" spans="1:53" s="257" customFormat="1" ht="30" customHeight="1">
      <c r="A291" s="625"/>
      <c r="B291" s="626" t="s">
        <v>169</v>
      </c>
      <c r="C291" s="255"/>
      <c r="D291" s="255"/>
      <c r="E291" s="255"/>
      <c r="F291" s="255"/>
      <c r="G291" s="255"/>
      <c r="H291" s="534"/>
      <c r="I291" s="534"/>
      <c r="J291" s="627"/>
      <c r="K291" s="627"/>
      <c r="L291" s="277"/>
      <c r="M291" s="277"/>
      <c r="N291" s="277"/>
      <c r="O291" s="277"/>
      <c r="P291" s="277"/>
      <c r="Q291" s="277"/>
      <c r="R291" s="277">
        <f>+R292+R293+R294</f>
        <v>11715</v>
      </c>
      <c r="S291" s="277">
        <f>+S292+S293+S294</f>
        <v>11715</v>
      </c>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f>+AV292+AV293+AV294</f>
        <v>300</v>
      </c>
      <c r="AW291" s="277">
        <f>+AW292+AW293+AW294</f>
        <v>300</v>
      </c>
      <c r="AX291" s="277"/>
      <c r="AY291" s="277"/>
      <c r="AZ291" s="301"/>
      <c r="BA291" s="533"/>
    </row>
    <row r="292" spans="1:53" s="262" customFormat="1" ht="38.25" customHeight="1">
      <c r="A292" s="258">
        <v>1</v>
      </c>
      <c r="B292" s="605" t="s">
        <v>989</v>
      </c>
      <c r="C292" s="243"/>
      <c r="D292" s="243"/>
      <c r="E292" s="243"/>
      <c r="F292" s="243"/>
      <c r="G292" s="243"/>
      <c r="H292" s="303"/>
      <c r="I292" s="303"/>
      <c r="J292" s="489"/>
      <c r="K292" s="489"/>
      <c r="L292" s="212"/>
      <c r="M292" s="212"/>
      <c r="N292" s="212"/>
      <c r="O292" s="212"/>
      <c r="P292" s="212"/>
      <c r="Q292" s="212"/>
      <c r="R292" s="212">
        <v>2000</v>
      </c>
      <c r="S292" s="212">
        <v>2000</v>
      </c>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f>+AW292</f>
        <v>100</v>
      </c>
      <c r="AW292" s="212">
        <v>100</v>
      </c>
      <c r="AX292" s="212"/>
      <c r="AY292" s="212"/>
      <c r="AZ292" s="261" t="s">
        <v>944</v>
      </c>
      <c r="BA292" s="201"/>
    </row>
    <row r="293" spans="1:53" s="262" customFormat="1" ht="31.5" customHeight="1">
      <c r="A293" s="258">
        <v>2</v>
      </c>
      <c r="B293" s="605" t="s">
        <v>990</v>
      </c>
      <c r="C293" s="243"/>
      <c r="D293" s="243"/>
      <c r="E293" s="243"/>
      <c r="F293" s="243"/>
      <c r="G293" s="243"/>
      <c r="H293" s="303"/>
      <c r="I293" s="303"/>
      <c r="J293" s="489"/>
      <c r="K293" s="489"/>
      <c r="L293" s="212"/>
      <c r="M293" s="212"/>
      <c r="N293" s="212"/>
      <c r="O293" s="212"/>
      <c r="P293" s="212"/>
      <c r="Q293" s="212"/>
      <c r="R293" s="212">
        <v>6000</v>
      </c>
      <c r="S293" s="212">
        <v>6000</v>
      </c>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f t="shared" ref="AV293:AV294" si="498">+AW293</f>
        <v>100</v>
      </c>
      <c r="AW293" s="212">
        <v>100</v>
      </c>
      <c r="AX293" s="212"/>
      <c r="AY293" s="212"/>
      <c r="AZ293" s="261" t="s">
        <v>944</v>
      </c>
      <c r="BA293" s="201"/>
    </row>
    <row r="294" spans="1:53" s="262" customFormat="1" ht="49.5" customHeight="1">
      <c r="A294" s="258">
        <v>3</v>
      </c>
      <c r="B294" s="628" t="s">
        <v>991</v>
      </c>
      <c r="C294" s="243"/>
      <c r="D294" s="243"/>
      <c r="E294" s="243"/>
      <c r="F294" s="243"/>
      <c r="G294" s="243"/>
      <c r="H294" s="303"/>
      <c r="I294" s="303"/>
      <c r="J294" s="489"/>
      <c r="K294" s="489"/>
      <c r="L294" s="212"/>
      <c r="M294" s="212"/>
      <c r="N294" s="212"/>
      <c r="O294" s="212"/>
      <c r="P294" s="212"/>
      <c r="Q294" s="212"/>
      <c r="R294" s="212">
        <v>3715</v>
      </c>
      <c r="S294" s="212">
        <v>3715</v>
      </c>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f t="shared" si="498"/>
        <v>100</v>
      </c>
      <c r="AW294" s="212">
        <v>100</v>
      </c>
      <c r="AX294" s="212"/>
      <c r="AY294" s="212"/>
      <c r="AZ294" s="261" t="s">
        <v>944</v>
      </c>
      <c r="BA294" s="201"/>
    </row>
    <row r="295" spans="1:53" s="262" customFormat="1" ht="22.5" customHeight="1">
      <c r="A295" s="258"/>
      <c r="B295" s="274"/>
      <c r="C295" s="243"/>
      <c r="D295" s="243"/>
      <c r="E295" s="243"/>
      <c r="F295" s="243"/>
      <c r="G295" s="243"/>
      <c r="H295" s="303"/>
      <c r="I295" s="303"/>
      <c r="J295" s="489"/>
      <c r="K295" s="489"/>
      <c r="L295" s="212"/>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61"/>
      <c r="BA295" s="201"/>
    </row>
    <row r="296" spans="1:53" s="232" customFormat="1" ht="29.1" customHeight="1">
      <c r="A296" s="263"/>
      <c r="B296" s="228" t="s">
        <v>327</v>
      </c>
      <c r="C296" s="229"/>
      <c r="D296" s="229"/>
      <c r="E296" s="229"/>
      <c r="F296" s="229"/>
      <c r="G296" s="229"/>
      <c r="H296" s="229"/>
      <c r="I296" s="231"/>
      <c r="J296" s="215"/>
      <c r="K296" s="215"/>
      <c r="L296" s="215"/>
      <c r="M296" s="215"/>
      <c r="N296" s="215"/>
      <c r="O296" s="215"/>
      <c r="P296" s="212"/>
      <c r="Q296" s="212"/>
      <c r="R296" s="215"/>
      <c r="S296" s="215"/>
      <c r="T296" s="215"/>
      <c r="U296" s="215"/>
      <c r="V296" s="215"/>
      <c r="W296" s="215"/>
      <c r="X296" s="215"/>
      <c r="Y296" s="215"/>
      <c r="Z296" s="215"/>
      <c r="AA296" s="215"/>
      <c r="AB296" s="215">
        <v>31018</v>
      </c>
      <c r="AC296" s="215"/>
      <c r="AD296" s="215"/>
      <c r="AE296" s="215"/>
      <c r="AF296" s="215"/>
      <c r="AG296" s="215"/>
      <c r="AH296" s="215"/>
      <c r="AI296" s="215"/>
      <c r="AJ296" s="215"/>
      <c r="AK296" s="215"/>
      <c r="AL296" s="215"/>
      <c r="AM296" s="215"/>
      <c r="AN296" s="215"/>
      <c r="AO296" s="215"/>
      <c r="AP296" s="215">
        <v>23716.550000000003</v>
      </c>
      <c r="AQ296" s="215"/>
      <c r="AR296" s="215"/>
      <c r="AS296" s="215"/>
      <c r="AT296" s="215"/>
      <c r="AU296" s="215"/>
      <c r="AV296" s="215"/>
      <c r="AW296" s="215">
        <v>23987</v>
      </c>
      <c r="AX296" s="215"/>
      <c r="AY296" s="215"/>
      <c r="AZ296" s="329"/>
    </row>
    <row r="297" spans="1:53" s="251" customFormat="1" ht="37.5" customHeight="1">
      <c r="A297" s="263" t="s">
        <v>542</v>
      </c>
      <c r="B297" s="280" t="s">
        <v>543</v>
      </c>
      <c r="C297" s="229"/>
      <c r="D297" s="229"/>
      <c r="E297" s="229"/>
      <c r="F297" s="229"/>
      <c r="G297" s="235"/>
      <c r="H297" s="229"/>
      <c r="I297" s="231"/>
      <c r="J297" s="215">
        <f>J308+J315</f>
        <v>220509</v>
      </c>
      <c r="K297" s="215">
        <f t="shared" ref="K297:AW297" si="499">K308+K315</f>
        <v>124371</v>
      </c>
      <c r="L297" s="215">
        <f t="shared" si="499"/>
        <v>24341</v>
      </c>
      <c r="M297" s="215">
        <f t="shared" si="499"/>
        <v>4000</v>
      </c>
      <c r="N297" s="215">
        <f t="shared" si="499"/>
        <v>24341</v>
      </c>
      <c r="O297" s="215">
        <f t="shared" si="499"/>
        <v>4000</v>
      </c>
      <c r="P297" s="215">
        <f t="shared" si="499"/>
        <v>32696</v>
      </c>
      <c r="Q297" s="215">
        <f t="shared" si="499"/>
        <v>12355</v>
      </c>
      <c r="R297" s="215">
        <f t="shared" si="499"/>
        <v>149566</v>
      </c>
      <c r="S297" s="215">
        <f t="shared" si="499"/>
        <v>66928</v>
      </c>
      <c r="T297" s="215">
        <f t="shared" si="499"/>
        <v>0</v>
      </c>
      <c r="U297" s="215">
        <f t="shared" si="499"/>
        <v>5000</v>
      </c>
      <c r="V297" s="215">
        <f t="shared" si="499"/>
        <v>40341</v>
      </c>
      <c r="W297" s="215">
        <f t="shared" si="499"/>
        <v>8355</v>
      </c>
      <c r="X297" s="215">
        <f t="shared" si="499"/>
        <v>8355</v>
      </c>
      <c r="Y297" s="215">
        <f t="shared" si="499"/>
        <v>0</v>
      </c>
      <c r="Z297" s="215">
        <f t="shared" si="499"/>
        <v>5000</v>
      </c>
      <c r="AA297" s="215">
        <f t="shared" si="499"/>
        <v>4210</v>
      </c>
      <c r="AB297" s="215">
        <f t="shared" si="499"/>
        <v>4210</v>
      </c>
      <c r="AC297" s="215">
        <f t="shared" si="499"/>
        <v>0</v>
      </c>
      <c r="AD297" s="215">
        <f t="shared" si="499"/>
        <v>0</v>
      </c>
      <c r="AE297" s="215">
        <f t="shared" si="499"/>
        <v>0</v>
      </c>
      <c r="AF297" s="215">
        <f t="shared" si="499"/>
        <v>0</v>
      </c>
      <c r="AG297" s="215">
        <f t="shared" si="499"/>
        <v>12565</v>
      </c>
      <c r="AH297" s="215">
        <f t="shared" si="499"/>
        <v>12565</v>
      </c>
      <c r="AI297" s="215">
        <f t="shared" si="499"/>
        <v>0</v>
      </c>
      <c r="AJ297" s="215">
        <f t="shared" si="499"/>
        <v>0</v>
      </c>
      <c r="AK297" s="215">
        <f t="shared" si="499"/>
        <v>9532</v>
      </c>
      <c r="AL297" s="215">
        <f t="shared" si="499"/>
        <v>9532</v>
      </c>
      <c r="AM297" s="215">
        <f t="shared" si="499"/>
        <v>0</v>
      </c>
      <c r="AN297" s="215">
        <f t="shared" si="499"/>
        <v>0</v>
      </c>
      <c r="AO297" s="215">
        <f t="shared" si="499"/>
        <v>9532</v>
      </c>
      <c r="AP297" s="215">
        <f t="shared" si="499"/>
        <v>9532</v>
      </c>
      <c r="AQ297" s="215">
        <f t="shared" si="499"/>
        <v>0</v>
      </c>
      <c r="AR297" s="215">
        <f t="shared" si="499"/>
        <v>0</v>
      </c>
      <c r="AS297" s="215">
        <f t="shared" si="499"/>
        <v>97933</v>
      </c>
      <c r="AT297" s="215">
        <f t="shared" si="499"/>
        <v>69947</v>
      </c>
      <c r="AU297" s="215">
        <f t="shared" si="499"/>
        <v>27397</v>
      </c>
      <c r="AV297" s="215">
        <f t="shared" si="499"/>
        <v>23987</v>
      </c>
      <c r="AW297" s="215">
        <f t="shared" si="499"/>
        <v>23987</v>
      </c>
      <c r="AX297" s="215"/>
      <c r="AY297" s="215"/>
      <c r="AZ297" s="265"/>
      <c r="BA297" s="232"/>
    </row>
    <row r="298" spans="1:53" s="270" customFormat="1" ht="37.5" hidden="1" customHeight="1">
      <c r="A298" s="227" t="s">
        <v>33</v>
      </c>
      <c r="B298" s="234" t="s">
        <v>655</v>
      </c>
      <c r="C298" s="272"/>
      <c r="D298" s="272"/>
      <c r="E298" s="272"/>
      <c r="F298" s="272"/>
      <c r="G298" s="272"/>
      <c r="H298" s="272"/>
      <c r="I298" s="276"/>
      <c r="J298" s="277">
        <f>J299</f>
        <v>58640</v>
      </c>
      <c r="K298" s="277">
        <f t="shared" ref="K298:AR298" si="500">K299</f>
        <v>22840</v>
      </c>
      <c r="L298" s="277">
        <f t="shared" si="500"/>
        <v>35800</v>
      </c>
      <c r="M298" s="277">
        <f t="shared" si="500"/>
        <v>0</v>
      </c>
      <c r="N298" s="277">
        <f t="shared" si="500"/>
        <v>35800</v>
      </c>
      <c r="O298" s="277">
        <f t="shared" si="500"/>
        <v>0</v>
      </c>
      <c r="P298" s="277">
        <f t="shared" si="500"/>
        <v>39300</v>
      </c>
      <c r="Q298" s="277">
        <f t="shared" si="500"/>
        <v>3500</v>
      </c>
      <c r="R298" s="277">
        <f t="shared" si="500"/>
        <v>22340</v>
      </c>
      <c r="S298" s="277">
        <f t="shared" si="500"/>
        <v>22340</v>
      </c>
      <c r="T298" s="277">
        <f t="shared" si="500"/>
        <v>0</v>
      </c>
      <c r="U298" s="277">
        <f t="shared" si="500"/>
        <v>0</v>
      </c>
      <c r="V298" s="277">
        <f t="shared" si="500"/>
        <v>51151</v>
      </c>
      <c r="W298" s="277">
        <f t="shared" si="500"/>
        <v>3500</v>
      </c>
      <c r="X298" s="277">
        <f t="shared" si="500"/>
        <v>3500</v>
      </c>
      <c r="Y298" s="277">
        <f t="shared" si="500"/>
        <v>0</v>
      </c>
      <c r="Z298" s="277">
        <f t="shared" si="500"/>
        <v>0</v>
      </c>
      <c r="AA298" s="277">
        <f t="shared" si="500"/>
        <v>12576</v>
      </c>
      <c r="AB298" s="277">
        <f t="shared" si="500"/>
        <v>12576</v>
      </c>
      <c r="AC298" s="277">
        <f t="shared" si="500"/>
        <v>0</v>
      </c>
      <c r="AD298" s="277">
        <f t="shared" si="500"/>
        <v>0</v>
      </c>
      <c r="AE298" s="277">
        <f t="shared" si="500"/>
        <v>8076</v>
      </c>
      <c r="AF298" s="277">
        <f t="shared" si="500"/>
        <v>8076</v>
      </c>
      <c r="AG298" s="277">
        <f t="shared" si="500"/>
        <v>16076</v>
      </c>
      <c r="AH298" s="277">
        <f t="shared" si="500"/>
        <v>16076</v>
      </c>
      <c r="AI298" s="277"/>
      <c r="AJ298" s="277"/>
      <c r="AK298" s="277">
        <f t="shared" si="500"/>
        <v>5425</v>
      </c>
      <c r="AL298" s="277">
        <f t="shared" si="500"/>
        <v>5425</v>
      </c>
      <c r="AM298" s="277">
        <f t="shared" si="500"/>
        <v>0</v>
      </c>
      <c r="AN298" s="277">
        <f t="shared" si="500"/>
        <v>0</v>
      </c>
      <c r="AO298" s="277">
        <f t="shared" si="500"/>
        <v>11425</v>
      </c>
      <c r="AP298" s="277">
        <f t="shared" si="500"/>
        <v>11425</v>
      </c>
      <c r="AQ298" s="277">
        <f t="shared" si="500"/>
        <v>0</v>
      </c>
      <c r="AR298" s="277">
        <f t="shared" si="500"/>
        <v>0</v>
      </c>
      <c r="AS298" s="277"/>
      <c r="AT298" s="277"/>
      <c r="AU298" s="277"/>
      <c r="AV298" s="277"/>
      <c r="AW298" s="277"/>
      <c r="AX298" s="277"/>
      <c r="AY298" s="277"/>
      <c r="AZ298" s="272"/>
      <c r="BA298" s="279"/>
    </row>
    <row r="299" spans="1:53" s="270" customFormat="1" ht="27" hidden="1" customHeight="1">
      <c r="A299" s="275" t="s">
        <v>35</v>
      </c>
      <c r="B299" s="236" t="s">
        <v>45</v>
      </c>
      <c r="C299" s="272"/>
      <c r="D299" s="272"/>
      <c r="E299" s="272"/>
      <c r="F299" s="272"/>
      <c r="G299" s="272"/>
      <c r="H299" s="272"/>
      <c r="I299" s="276"/>
      <c r="J299" s="277">
        <f t="shared" ref="J299:AR299" si="501">J300+J301+J302+J307</f>
        <v>58640</v>
      </c>
      <c r="K299" s="277">
        <f t="shared" si="501"/>
        <v>22840</v>
      </c>
      <c r="L299" s="277">
        <f t="shared" si="501"/>
        <v>35800</v>
      </c>
      <c r="M299" s="277">
        <f t="shared" si="501"/>
        <v>0</v>
      </c>
      <c r="N299" s="277">
        <f t="shared" si="501"/>
        <v>35800</v>
      </c>
      <c r="O299" s="277">
        <f t="shared" si="501"/>
        <v>0</v>
      </c>
      <c r="P299" s="277">
        <f t="shared" si="501"/>
        <v>39300</v>
      </c>
      <c r="Q299" s="277">
        <f t="shared" si="501"/>
        <v>3500</v>
      </c>
      <c r="R299" s="277">
        <f t="shared" si="501"/>
        <v>22340</v>
      </c>
      <c r="S299" s="277">
        <f t="shared" si="501"/>
        <v>22340</v>
      </c>
      <c r="T299" s="277">
        <f t="shared" si="501"/>
        <v>0</v>
      </c>
      <c r="U299" s="277">
        <f t="shared" si="501"/>
        <v>0</v>
      </c>
      <c r="V299" s="277">
        <f t="shared" si="501"/>
        <v>51151</v>
      </c>
      <c r="W299" s="277">
        <f t="shared" si="501"/>
        <v>3500</v>
      </c>
      <c r="X299" s="277">
        <f t="shared" si="501"/>
        <v>3500</v>
      </c>
      <c r="Y299" s="277">
        <f t="shared" si="501"/>
        <v>0</v>
      </c>
      <c r="Z299" s="277">
        <f t="shared" si="501"/>
        <v>0</v>
      </c>
      <c r="AA299" s="277">
        <f t="shared" si="501"/>
        <v>12576</v>
      </c>
      <c r="AB299" s="277">
        <f t="shared" si="501"/>
        <v>12576</v>
      </c>
      <c r="AC299" s="277">
        <f t="shared" si="501"/>
        <v>0</v>
      </c>
      <c r="AD299" s="277">
        <f t="shared" si="501"/>
        <v>0</v>
      </c>
      <c r="AE299" s="277">
        <f t="shared" si="501"/>
        <v>8076</v>
      </c>
      <c r="AF299" s="277">
        <f t="shared" si="501"/>
        <v>8076</v>
      </c>
      <c r="AG299" s="277">
        <f t="shared" si="501"/>
        <v>16076</v>
      </c>
      <c r="AH299" s="277">
        <f t="shared" si="501"/>
        <v>16076</v>
      </c>
      <c r="AI299" s="277">
        <f t="shared" si="501"/>
        <v>0</v>
      </c>
      <c r="AJ299" s="277">
        <f t="shared" si="501"/>
        <v>0</v>
      </c>
      <c r="AK299" s="277">
        <f t="shared" si="501"/>
        <v>5425</v>
      </c>
      <c r="AL299" s="277">
        <f t="shared" si="501"/>
        <v>5425</v>
      </c>
      <c r="AM299" s="277">
        <f t="shared" si="501"/>
        <v>0</v>
      </c>
      <c r="AN299" s="277">
        <f t="shared" si="501"/>
        <v>0</v>
      </c>
      <c r="AO299" s="277">
        <f t="shared" si="501"/>
        <v>11425</v>
      </c>
      <c r="AP299" s="277">
        <f t="shared" si="501"/>
        <v>11425</v>
      </c>
      <c r="AQ299" s="277">
        <f t="shared" si="501"/>
        <v>0</v>
      </c>
      <c r="AR299" s="277">
        <f t="shared" si="501"/>
        <v>0</v>
      </c>
      <c r="AS299" s="277"/>
      <c r="AT299" s="277"/>
      <c r="AU299" s="277"/>
      <c r="AV299" s="277"/>
      <c r="AW299" s="277"/>
      <c r="AX299" s="277"/>
      <c r="AY299" s="277"/>
      <c r="AZ299" s="272"/>
      <c r="BA299" s="279"/>
    </row>
    <row r="300" spans="1:53" s="262" customFormat="1" ht="54" hidden="1" customHeight="1">
      <c r="A300" s="258">
        <v>1</v>
      </c>
      <c r="B300" s="274" t="s">
        <v>547</v>
      </c>
      <c r="C300" s="243" t="s">
        <v>448</v>
      </c>
      <c r="D300" s="243"/>
      <c r="E300" s="243" t="s">
        <v>825</v>
      </c>
      <c r="F300" s="243"/>
      <c r="G300" s="243"/>
      <c r="H300" s="243"/>
      <c r="I300" s="248" t="s">
        <v>548</v>
      </c>
      <c r="J300" s="212">
        <v>43800</v>
      </c>
      <c r="K300" s="212">
        <v>8000</v>
      </c>
      <c r="L300" s="212">
        <v>35800</v>
      </c>
      <c r="M300" s="212"/>
      <c r="N300" s="212">
        <v>35800</v>
      </c>
      <c r="O300" s="212"/>
      <c r="P300" s="212">
        <f>L300+W300</f>
        <v>35800</v>
      </c>
      <c r="Q300" s="212">
        <f>M300+X300</f>
        <v>0</v>
      </c>
      <c r="R300" s="212">
        <v>8000</v>
      </c>
      <c r="S300" s="212">
        <v>8000</v>
      </c>
      <c r="T300" s="212"/>
      <c r="U300" s="212"/>
      <c r="V300" s="212">
        <f>35800+5076</f>
        <v>40876</v>
      </c>
      <c r="W300" s="212"/>
      <c r="X300" s="212"/>
      <c r="Y300" s="212"/>
      <c r="Z300" s="212"/>
      <c r="AA300" s="273">
        <v>5076</v>
      </c>
      <c r="AB300" s="212">
        <v>5076</v>
      </c>
      <c r="AC300" s="212"/>
      <c r="AD300" s="212"/>
      <c r="AE300" s="273">
        <v>5076</v>
      </c>
      <c r="AF300" s="273">
        <v>5076</v>
      </c>
      <c r="AG300" s="212">
        <f t="shared" ref="AG300:AH302" si="502">W300+AA300</f>
        <v>5076</v>
      </c>
      <c r="AH300" s="212">
        <f t="shared" si="502"/>
        <v>5076</v>
      </c>
      <c r="AI300" s="212"/>
      <c r="AJ300" s="212"/>
      <c r="AK300" s="212">
        <f t="shared" ref="AK300:AN302" si="503">AO300</f>
        <v>2925</v>
      </c>
      <c r="AL300" s="212">
        <f t="shared" si="503"/>
        <v>2925</v>
      </c>
      <c r="AM300" s="212">
        <f t="shared" si="503"/>
        <v>0</v>
      </c>
      <c r="AN300" s="212">
        <f t="shared" si="503"/>
        <v>0</v>
      </c>
      <c r="AO300" s="212">
        <f>AP300</f>
        <v>2925</v>
      </c>
      <c r="AP300" s="212">
        <v>2925</v>
      </c>
      <c r="AQ300" s="212"/>
      <c r="AR300" s="212"/>
      <c r="AS300" s="212"/>
      <c r="AT300" s="212"/>
      <c r="AU300" s="212"/>
      <c r="AV300" s="212"/>
      <c r="AW300" s="212"/>
      <c r="AX300" s="212"/>
      <c r="AY300" s="212"/>
      <c r="AZ300" s="268" t="s">
        <v>852</v>
      </c>
      <c r="BA300" s="201"/>
    </row>
    <row r="301" spans="1:53" s="262" customFormat="1" ht="45.95" hidden="1" customHeight="1">
      <c r="A301" s="258">
        <v>2</v>
      </c>
      <c r="B301" s="274" t="s">
        <v>551</v>
      </c>
      <c r="C301" s="243" t="s">
        <v>544</v>
      </c>
      <c r="D301" s="243"/>
      <c r="E301" s="243" t="s">
        <v>826</v>
      </c>
      <c r="F301" s="243"/>
      <c r="G301" s="243"/>
      <c r="H301" s="243"/>
      <c r="I301" s="248"/>
      <c r="J301" s="212"/>
      <c r="K301" s="212"/>
      <c r="L301" s="212"/>
      <c r="M301" s="212"/>
      <c r="N301" s="212"/>
      <c r="O301" s="212"/>
      <c r="P301" s="212">
        <f>L301+W301</f>
        <v>0</v>
      </c>
      <c r="Q301" s="212">
        <v>0</v>
      </c>
      <c r="R301" s="212">
        <v>5500</v>
      </c>
      <c r="S301" s="212">
        <v>5500</v>
      </c>
      <c r="T301" s="212"/>
      <c r="U301" s="212"/>
      <c r="V301" s="212">
        <v>3000</v>
      </c>
      <c r="W301" s="212"/>
      <c r="X301" s="212">
        <v>0</v>
      </c>
      <c r="Y301" s="212"/>
      <c r="Z301" s="212"/>
      <c r="AA301" s="212">
        <v>3000</v>
      </c>
      <c r="AB301" s="212">
        <v>3000</v>
      </c>
      <c r="AC301" s="212"/>
      <c r="AD301" s="212"/>
      <c r="AE301" s="273">
        <v>3000</v>
      </c>
      <c r="AF301" s="273">
        <v>3000</v>
      </c>
      <c r="AG301" s="212">
        <f t="shared" si="502"/>
        <v>3000</v>
      </c>
      <c r="AH301" s="212">
        <f t="shared" si="502"/>
        <v>3000</v>
      </c>
      <c r="AI301" s="212"/>
      <c r="AJ301" s="212"/>
      <c r="AK301" s="212">
        <f t="shared" si="503"/>
        <v>2500</v>
      </c>
      <c r="AL301" s="212">
        <f t="shared" si="503"/>
        <v>2500</v>
      </c>
      <c r="AM301" s="212">
        <f t="shared" si="503"/>
        <v>0</v>
      </c>
      <c r="AN301" s="212">
        <f t="shared" si="503"/>
        <v>0</v>
      </c>
      <c r="AO301" s="212">
        <f>AP301</f>
        <v>2500</v>
      </c>
      <c r="AP301" s="212">
        <f>S301-AB301</f>
        <v>2500</v>
      </c>
      <c r="AQ301" s="212"/>
      <c r="AR301" s="212"/>
      <c r="AS301" s="212"/>
      <c r="AT301" s="212"/>
      <c r="AU301" s="212"/>
      <c r="AV301" s="212"/>
      <c r="AW301" s="212"/>
      <c r="AX301" s="212"/>
      <c r="AY301" s="212"/>
      <c r="AZ301" s="268" t="s">
        <v>550</v>
      </c>
      <c r="BA301" s="201"/>
    </row>
    <row r="302" spans="1:53" s="262" customFormat="1" ht="47.45" hidden="1" customHeight="1">
      <c r="A302" s="258">
        <v>3</v>
      </c>
      <c r="B302" s="274" t="s">
        <v>549</v>
      </c>
      <c r="C302" s="243" t="s">
        <v>544</v>
      </c>
      <c r="D302" s="243"/>
      <c r="E302" s="243" t="s">
        <v>826</v>
      </c>
      <c r="F302" s="243"/>
      <c r="G302" s="243"/>
      <c r="H302" s="243"/>
      <c r="I302" s="248"/>
      <c r="J302" s="212">
        <v>8840</v>
      </c>
      <c r="K302" s="212">
        <v>8840</v>
      </c>
      <c r="L302" s="212">
        <v>0</v>
      </c>
      <c r="M302" s="212">
        <v>0</v>
      </c>
      <c r="N302" s="212">
        <v>0</v>
      </c>
      <c r="O302" s="212">
        <v>0</v>
      </c>
      <c r="P302" s="212">
        <f>L302+W302</f>
        <v>3500</v>
      </c>
      <c r="Q302" s="212">
        <f>M302+X302</f>
        <v>3500</v>
      </c>
      <c r="R302" s="212">
        <v>8840</v>
      </c>
      <c r="S302" s="212">
        <v>8840</v>
      </c>
      <c r="T302" s="212"/>
      <c r="U302" s="212"/>
      <c r="V302" s="212">
        <f>2775+4500</f>
        <v>7275</v>
      </c>
      <c r="W302" s="212">
        <v>3500</v>
      </c>
      <c r="X302" s="212">
        <v>3500</v>
      </c>
      <c r="Y302" s="212"/>
      <c r="Z302" s="212"/>
      <c r="AA302" s="273">
        <v>4500</v>
      </c>
      <c r="AB302" s="273">
        <v>4500</v>
      </c>
      <c r="AC302" s="212"/>
      <c r="AD302" s="212"/>
      <c r="AE302" s="212"/>
      <c r="AF302" s="212"/>
      <c r="AG302" s="212">
        <f t="shared" si="502"/>
        <v>8000</v>
      </c>
      <c r="AH302" s="212">
        <f t="shared" si="502"/>
        <v>8000</v>
      </c>
      <c r="AI302" s="212"/>
      <c r="AJ302" s="212"/>
      <c r="AK302" s="212">
        <f t="shared" si="503"/>
        <v>0</v>
      </c>
      <c r="AL302" s="212">
        <f t="shared" si="503"/>
        <v>0</v>
      </c>
      <c r="AM302" s="212">
        <f t="shared" si="503"/>
        <v>0</v>
      </c>
      <c r="AN302" s="212">
        <f t="shared" si="503"/>
        <v>0</v>
      </c>
      <c r="AO302" s="212">
        <f>AP302</f>
        <v>0</v>
      </c>
      <c r="AP302" s="212"/>
      <c r="AQ302" s="212"/>
      <c r="AR302" s="212"/>
      <c r="AS302" s="212">
        <f t="shared" ref="AS302" si="504">V302+AP302</f>
        <v>7275</v>
      </c>
      <c r="AT302" s="212">
        <f t="shared" ref="AT302" si="505">AU302</f>
        <v>8000</v>
      </c>
      <c r="AU302" s="212">
        <f t="shared" ref="AU302" si="506">AH302+AP302</f>
        <v>8000</v>
      </c>
      <c r="AV302" s="212"/>
      <c r="AW302" s="212"/>
      <c r="AX302" s="212"/>
      <c r="AY302" s="212"/>
      <c r="AZ302" s="261" t="s">
        <v>780</v>
      </c>
      <c r="BA302" s="201"/>
    </row>
    <row r="303" spans="1:53" ht="42" hidden="1" customHeight="1">
      <c r="A303" s="258"/>
      <c r="B303" s="267"/>
      <c r="C303" s="243"/>
      <c r="D303" s="243"/>
      <c r="E303" s="243"/>
      <c r="F303" s="243"/>
      <c r="G303" s="243"/>
      <c r="H303" s="243"/>
      <c r="I303" s="248"/>
      <c r="J303" s="212"/>
      <c r="K303" s="212"/>
      <c r="L303" s="212"/>
      <c r="M303" s="212"/>
      <c r="N303" s="212"/>
      <c r="O303" s="212"/>
      <c r="P303" s="212"/>
      <c r="Q303" s="212"/>
      <c r="R303" s="212"/>
      <c r="S303" s="212"/>
      <c r="T303" s="212"/>
      <c r="U303" s="212"/>
      <c r="V303" s="212"/>
      <c r="W303" s="212"/>
      <c r="X303" s="212"/>
      <c r="Y303" s="212"/>
      <c r="Z303" s="212"/>
      <c r="AA303" s="273"/>
      <c r="AB303" s="273"/>
      <c r="AC303" s="273"/>
      <c r="AD303" s="273"/>
      <c r="AE303" s="566"/>
      <c r="AF303" s="566"/>
      <c r="AG303" s="215"/>
      <c r="AH303" s="215"/>
      <c r="AI303" s="215"/>
      <c r="AJ303" s="215"/>
      <c r="AK303" s="215"/>
      <c r="AL303" s="215"/>
      <c r="AM303" s="215"/>
      <c r="AN303" s="215"/>
      <c r="AO303" s="273"/>
      <c r="AP303" s="273"/>
      <c r="AQ303" s="273"/>
      <c r="AR303" s="273"/>
      <c r="AS303" s="273"/>
      <c r="AT303" s="273"/>
      <c r="AU303" s="273"/>
      <c r="AV303" s="273"/>
      <c r="AW303" s="273"/>
      <c r="AX303" s="273"/>
      <c r="AY303" s="273"/>
      <c r="AZ303" s="268"/>
    </row>
    <row r="304" spans="1:53" s="533" customFormat="1" ht="14.1" hidden="1" customHeight="1">
      <c r="A304" s="237"/>
      <c r="B304" s="234"/>
      <c r="C304" s="255"/>
      <c r="D304" s="255"/>
      <c r="E304" s="255"/>
      <c r="F304" s="255"/>
      <c r="G304" s="255"/>
      <c r="H304" s="255"/>
      <c r="I304" s="256"/>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55"/>
    </row>
    <row r="305" spans="1:53" s="533" customFormat="1" ht="14.1" hidden="1" customHeight="1">
      <c r="A305" s="287"/>
      <c r="B305" s="236"/>
      <c r="C305" s="255"/>
      <c r="D305" s="255"/>
      <c r="E305" s="255"/>
      <c r="F305" s="255"/>
      <c r="G305" s="255"/>
      <c r="H305" s="255"/>
      <c r="I305" s="256"/>
      <c r="J305" s="277"/>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15"/>
      <c r="AH305" s="215"/>
      <c r="AI305" s="215"/>
      <c r="AJ305" s="215"/>
      <c r="AK305" s="215"/>
      <c r="AL305" s="215"/>
      <c r="AM305" s="215"/>
      <c r="AN305" s="215"/>
      <c r="AO305" s="277"/>
      <c r="AP305" s="277"/>
      <c r="AQ305" s="277"/>
      <c r="AR305" s="277"/>
      <c r="AS305" s="277"/>
      <c r="AT305" s="277"/>
      <c r="AU305" s="277"/>
      <c r="AV305" s="277"/>
      <c r="AW305" s="277"/>
      <c r="AX305" s="277"/>
      <c r="AY305" s="277"/>
      <c r="AZ305" s="255"/>
    </row>
    <row r="306" spans="1:53" ht="27.95" hidden="1" customHeight="1">
      <c r="A306" s="258"/>
      <c r="B306" s="269"/>
      <c r="C306" s="243"/>
      <c r="D306" s="243"/>
      <c r="E306" s="243"/>
      <c r="F306" s="243"/>
      <c r="G306" s="243"/>
      <c r="H306" s="243"/>
      <c r="I306" s="248"/>
      <c r="J306" s="212"/>
      <c r="K306" s="212"/>
      <c r="L306" s="212"/>
      <c r="M306" s="212"/>
      <c r="N306" s="212"/>
      <c r="O306" s="212"/>
      <c r="P306" s="212"/>
      <c r="Q306" s="212"/>
      <c r="R306" s="212"/>
      <c r="S306" s="212"/>
      <c r="T306" s="212"/>
      <c r="U306" s="212"/>
      <c r="V306" s="212"/>
      <c r="W306" s="212"/>
      <c r="X306" s="212"/>
      <c r="Y306" s="212"/>
      <c r="Z306" s="212"/>
      <c r="AA306" s="273"/>
      <c r="AB306" s="273"/>
      <c r="AC306" s="212"/>
      <c r="AD306" s="212"/>
      <c r="AE306" s="212"/>
      <c r="AF306" s="212"/>
      <c r="AG306" s="215"/>
      <c r="AH306" s="215"/>
      <c r="AI306" s="215"/>
      <c r="AJ306" s="215"/>
      <c r="AK306" s="215"/>
      <c r="AL306" s="215"/>
      <c r="AM306" s="215"/>
      <c r="AN306" s="215"/>
      <c r="AO306" s="212"/>
      <c r="AP306" s="212"/>
      <c r="AQ306" s="212"/>
      <c r="AR306" s="212"/>
      <c r="AS306" s="212"/>
      <c r="AT306" s="212"/>
      <c r="AU306" s="212"/>
      <c r="AV306" s="212"/>
      <c r="AW306" s="212"/>
      <c r="AX306" s="212"/>
      <c r="AY306" s="212"/>
      <c r="AZ306" s="261"/>
    </row>
    <row r="307" spans="1:53" s="262" customFormat="1" ht="54.6" hidden="1" customHeight="1">
      <c r="A307" s="258">
        <v>4</v>
      </c>
      <c r="B307" s="269" t="s">
        <v>867</v>
      </c>
      <c r="C307" s="243"/>
      <c r="D307" s="243"/>
      <c r="E307" s="243"/>
      <c r="F307" s="243"/>
      <c r="G307" s="243"/>
      <c r="H307" s="243"/>
      <c r="I307" s="248"/>
      <c r="J307" s="212">
        <f>K307</f>
        <v>6000</v>
      </c>
      <c r="K307" s="212">
        <v>6000</v>
      </c>
      <c r="L307" s="212"/>
      <c r="M307" s="212"/>
      <c r="N307" s="212"/>
      <c r="O307" s="212"/>
      <c r="P307" s="212"/>
      <c r="Q307" s="212"/>
      <c r="R307" s="212"/>
      <c r="S307" s="212"/>
      <c r="T307" s="212"/>
      <c r="U307" s="212"/>
      <c r="V307" s="212"/>
      <c r="W307" s="212"/>
      <c r="X307" s="212"/>
      <c r="Y307" s="212"/>
      <c r="Z307" s="212"/>
      <c r="AA307" s="273"/>
      <c r="AB307" s="273"/>
      <c r="AC307" s="212"/>
      <c r="AD307" s="212"/>
      <c r="AE307" s="212"/>
      <c r="AF307" s="212"/>
      <c r="AG307" s="215"/>
      <c r="AH307" s="215"/>
      <c r="AI307" s="215"/>
      <c r="AJ307" s="215"/>
      <c r="AK307" s="215"/>
      <c r="AL307" s="215"/>
      <c r="AM307" s="215"/>
      <c r="AN307" s="215"/>
      <c r="AO307" s="212">
        <f>AP307</f>
        <v>6000</v>
      </c>
      <c r="AP307" s="212">
        <v>6000</v>
      </c>
      <c r="AQ307" s="212"/>
      <c r="AR307" s="212"/>
      <c r="AS307" s="212"/>
      <c r="AT307" s="212"/>
      <c r="AU307" s="212"/>
      <c r="AV307" s="212"/>
      <c r="AW307" s="212"/>
      <c r="AX307" s="212"/>
      <c r="AY307" s="212"/>
      <c r="AZ307" s="261"/>
      <c r="BA307" s="201"/>
    </row>
    <row r="308" spans="1:53" s="251" customFormat="1" ht="34.5" customHeight="1">
      <c r="A308" s="227" t="s">
        <v>278</v>
      </c>
      <c r="B308" s="234" t="s">
        <v>900</v>
      </c>
      <c r="C308" s="229"/>
      <c r="D308" s="229"/>
      <c r="E308" s="229"/>
      <c r="F308" s="229"/>
      <c r="G308" s="229"/>
      <c r="H308" s="229"/>
      <c r="I308" s="231"/>
      <c r="J308" s="242">
        <f>J309</f>
        <v>61169</v>
      </c>
      <c r="K308" s="242">
        <f t="shared" ref="K308:AW308" si="507">K309</f>
        <v>61169</v>
      </c>
      <c r="L308" s="242">
        <f t="shared" si="507"/>
        <v>24341</v>
      </c>
      <c r="M308" s="242">
        <f t="shared" si="507"/>
        <v>4000</v>
      </c>
      <c r="N308" s="242">
        <f t="shared" si="507"/>
        <v>24341</v>
      </c>
      <c r="O308" s="242">
        <f t="shared" si="507"/>
        <v>4000</v>
      </c>
      <c r="P308" s="242">
        <f t="shared" si="507"/>
        <v>32696</v>
      </c>
      <c r="Q308" s="242">
        <f t="shared" si="507"/>
        <v>12355</v>
      </c>
      <c r="R308" s="242">
        <f t="shared" si="507"/>
        <v>31139</v>
      </c>
      <c r="S308" s="242">
        <f t="shared" si="507"/>
        <v>31139</v>
      </c>
      <c r="T308" s="242">
        <f t="shared" si="507"/>
        <v>0</v>
      </c>
      <c r="U308" s="242">
        <f t="shared" si="507"/>
        <v>5000</v>
      </c>
      <c r="V308" s="242">
        <f t="shared" si="507"/>
        <v>40341</v>
      </c>
      <c r="W308" s="242">
        <f t="shared" si="507"/>
        <v>8355</v>
      </c>
      <c r="X308" s="242">
        <f t="shared" si="507"/>
        <v>8355</v>
      </c>
      <c r="Y308" s="242">
        <f t="shared" si="507"/>
        <v>0</v>
      </c>
      <c r="Z308" s="242">
        <f t="shared" si="507"/>
        <v>5000</v>
      </c>
      <c r="AA308" s="242">
        <f t="shared" si="507"/>
        <v>4210</v>
      </c>
      <c r="AB308" s="242">
        <f t="shared" si="507"/>
        <v>4210</v>
      </c>
      <c r="AC308" s="242">
        <f t="shared" si="507"/>
        <v>0</v>
      </c>
      <c r="AD308" s="242">
        <f t="shared" si="507"/>
        <v>0</v>
      </c>
      <c r="AE308" s="242">
        <f t="shared" si="507"/>
        <v>0</v>
      </c>
      <c r="AF308" s="242">
        <f t="shared" si="507"/>
        <v>0</v>
      </c>
      <c r="AG308" s="242">
        <f t="shared" si="507"/>
        <v>12565</v>
      </c>
      <c r="AH308" s="242">
        <f t="shared" si="507"/>
        <v>12565</v>
      </c>
      <c r="AI308" s="242"/>
      <c r="AJ308" s="242"/>
      <c r="AK308" s="242">
        <f t="shared" si="507"/>
        <v>8482</v>
      </c>
      <c r="AL308" s="242">
        <f t="shared" si="507"/>
        <v>8482</v>
      </c>
      <c r="AM308" s="242">
        <f t="shared" si="507"/>
        <v>0</v>
      </c>
      <c r="AN308" s="242">
        <f t="shared" si="507"/>
        <v>0</v>
      </c>
      <c r="AO308" s="242">
        <f t="shared" si="507"/>
        <v>8482</v>
      </c>
      <c r="AP308" s="242">
        <f t="shared" si="507"/>
        <v>8482</v>
      </c>
      <c r="AQ308" s="242">
        <f t="shared" si="507"/>
        <v>0</v>
      </c>
      <c r="AR308" s="242">
        <f t="shared" si="507"/>
        <v>0</v>
      </c>
      <c r="AS308" s="242">
        <f t="shared" si="507"/>
        <v>49033</v>
      </c>
      <c r="AT308" s="242">
        <f t="shared" si="507"/>
        <v>21047</v>
      </c>
      <c r="AU308" s="242">
        <f t="shared" si="507"/>
        <v>21047</v>
      </c>
      <c r="AV308" s="242">
        <f t="shared" si="507"/>
        <v>6390</v>
      </c>
      <c r="AW308" s="242">
        <f t="shared" si="507"/>
        <v>6390</v>
      </c>
      <c r="AX308" s="242"/>
      <c r="AY308" s="242"/>
      <c r="AZ308" s="265"/>
      <c r="BA308" s="232"/>
    </row>
    <row r="309" spans="1:53" s="257" customFormat="1" ht="34.5" customHeight="1">
      <c r="A309" s="275" t="s">
        <v>35</v>
      </c>
      <c r="B309" s="236" t="s">
        <v>45</v>
      </c>
      <c r="C309" s="255"/>
      <c r="D309" s="255"/>
      <c r="E309" s="255"/>
      <c r="F309" s="255"/>
      <c r="G309" s="255"/>
      <c r="H309" s="255"/>
      <c r="I309" s="256"/>
      <c r="J309" s="300">
        <f>J310+J314</f>
        <v>61169</v>
      </c>
      <c r="K309" s="300">
        <f t="shared" ref="K309:AW309" si="508">K310+K314</f>
        <v>61169</v>
      </c>
      <c r="L309" s="300">
        <f t="shared" si="508"/>
        <v>24341</v>
      </c>
      <c r="M309" s="300">
        <f t="shared" si="508"/>
        <v>4000</v>
      </c>
      <c r="N309" s="300">
        <f t="shared" si="508"/>
        <v>24341</v>
      </c>
      <c r="O309" s="300">
        <f t="shared" si="508"/>
        <v>4000</v>
      </c>
      <c r="P309" s="300">
        <f t="shared" si="508"/>
        <v>32696</v>
      </c>
      <c r="Q309" s="300">
        <f t="shared" si="508"/>
        <v>12355</v>
      </c>
      <c r="R309" s="300">
        <f t="shared" si="508"/>
        <v>31139</v>
      </c>
      <c r="S309" s="300">
        <f t="shared" si="508"/>
        <v>31139</v>
      </c>
      <c r="T309" s="300">
        <f t="shared" si="508"/>
        <v>0</v>
      </c>
      <c r="U309" s="300">
        <f t="shared" si="508"/>
        <v>5000</v>
      </c>
      <c r="V309" s="300">
        <f t="shared" si="508"/>
        <v>40341</v>
      </c>
      <c r="W309" s="300">
        <f t="shared" si="508"/>
        <v>8355</v>
      </c>
      <c r="X309" s="300">
        <f t="shared" si="508"/>
        <v>8355</v>
      </c>
      <c r="Y309" s="300">
        <f t="shared" si="508"/>
        <v>0</v>
      </c>
      <c r="Z309" s="300">
        <f t="shared" si="508"/>
        <v>5000</v>
      </c>
      <c r="AA309" s="300">
        <f t="shared" si="508"/>
        <v>4210</v>
      </c>
      <c r="AB309" s="300">
        <f t="shared" si="508"/>
        <v>4210</v>
      </c>
      <c r="AC309" s="300">
        <f t="shared" si="508"/>
        <v>0</v>
      </c>
      <c r="AD309" s="300">
        <f t="shared" si="508"/>
        <v>0</v>
      </c>
      <c r="AE309" s="300">
        <f t="shared" si="508"/>
        <v>0</v>
      </c>
      <c r="AF309" s="300">
        <f t="shared" si="508"/>
        <v>0</v>
      </c>
      <c r="AG309" s="300">
        <f t="shared" si="508"/>
        <v>12565</v>
      </c>
      <c r="AH309" s="300">
        <f t="shared" si="508"/>
        <v>12565</v>
      </c>
      <c r="AI309" s="300">
        <f t="shared" si="508"/>
        <v>0</v>
      </c>
      <c r="AJ309" s="300">
        <f t="shared" si="508"/>
        <v>0</v>
      </c>
      <c r="AK309" s="300">
        <f t="shared" si="508"/>
        <v>8482</v>
      </c>
      <c r="AL309" s="300">
        <f t="shared" si="508"/>
        <v>8482</v>
      </c>
      <c r="AM309" s="300">
        <f t="shared" si="508"/>
        <v>0</v>
      </c>
      <c r="AN309" s="300">
        <f t="shared" si="508"/>
        <v>0</v>
      </c>
      <c r="AO309" s="300">
        <f t="shared" si="508"/>
        <v>8482</v>
      </c>
      <c r="AP309" s="300">
        <f t="shared" si="508"/>
        <v>8482</v>
      </c>
      <c r="AQ309" s="300">
        <f t="shared" si="508"/>
        <v>0</v>
      </c>
      <c r="AR309" s="300">
        <f t="shared" si="508"/>
        <v>0</v>
      </c>
      <c r="AS309" s="300">
        <f t="shared" si="508"/>
        <v>49033</v>
      </c>
      <c r="AT309" s="300">
        <f t="shared" si="508"/>
        <v>21047</v>
      </c>
      <c r="AU309" s="300">
        <f t="shared" si="508"/>
        <v>21047</v>
      </c>
      <c r="AV309" s="300">
        <f t="shared" si="508"/>
        <v>6390</v>
      </c>
      <c r="AW309" s="300">
        <f t="shared" si="508"/>
        <v>6390</v>
      </c>
      <c r="AX309" s="300"/>
      <c r="AY309" s="300"/>
      <c r="AZ309" s="301"/>
      <c r="BA309" s="533"/>
    </row>
    <row r="310" spans="1:53" s="262" customFormat="1" ht="76.5" customHeight="1">
      <c r="A310" s="258">
        <v>1</v>
      </c>
      <c r="B310" s="274" t="s">
        <v>545</v>
      </c>
      <c r="C310" s="243" t="s">
        <v>350</v>
      </c>
      <c r="D310" s="243"/>
      <c r="E310" s="243" t="s">
        <v>827</v>
      </c>
      <c r="F310" s="243"/>
      <c r="G310" s="243"/>
      <c r="H310" s="243"/>
      <c r="I310" s="248" t="s">
        <v>546</v>
      </c>
      <c r="J310" s="212">
        <v>56169</v>
      </c>
      <c r="K310" s="212">
        <f>J310</f>
        <v>56169</v>
      </c>
      <c r="L310" s="212">
        <v>24341</v>
      </c>
      <c r="M310" s="212">
        <v>4000</v>
      </c>
      <c r="N310" s="212">
        <v>24341</v>
      </c>
      <c r="O310" s="212">
        <v>4000</v>
      </c>
      <c r="P310" s="212">
        <f t="shared" ref="P310:Q310" si="509">L310+W310</f>
        <v>32696</v>
      </c>
      <c r="Q310" s="212">
        <f t="shared" si="509"/>
        <v>12355</v>
      </c>
      <c r="R310" s="212">
        <f>S310</f>
        <v>26139</v>
      </c>
      <c r="S310" s="212">
        <v>26139</v>
      </c>
      <c r="T310" s="212"/>
      <c r="U310" s="212">
        <v>5000</v>
      </c>
      <c r="V310" s="212">
        <f>24341+5000+11000</f>
        <v>40341</v>
      </c>
      <c r="W310" s="212">
        <v>8355</v>
      </c>
      <c r="X310" s="212">
        <v>8355</v>
      </c>
      <c r="Y310" s="212"/>
      <c r="Z310" s="212">
        <v>5000</v>
      </c>
      <c r="AA310" s="273">
        <f>+AB310</f>
        <v>4000</v>
      </c>
      <c r="AB310" s="273">
        <v>4000</v>
      </c>
      <c r="AC310" s="212"/>
      <c r="AD310" s="212"/>
      <c r="AE310" s="212"/>
      <c r="AF310" s="212"/>
      <c r="AG310" s="212">
        <f>W310+AA310</f>
        <v>12355</v>
      </c>
      <c r="AH310" s="212">
        <f>X310+AB310</f>
        <v>12355</v>
      </c>
      <c r="AI310" s="212"/>
      <c r="AJ310" s="212"/>
      <c r="AK310" s="212">
        <f>AO310</f>
        <v>6482</v>
      </c>
      <c r="AL310" s="212">
        <f>AP310</f>
        <v>6482</v>
      </c>
      <c r="AM310" s="212">
        <f>AQ310</f>
        <v>0</v>
      </c>
      <c r="AN310" s="212">
        <f>AR310</f>
        <v>0</v>
      </c>
      <c r="AO310" s="212">
        <f>AP310</f>
        <v>6482</v>
      </c>
      <c r="AP310" s="212">
        <v>6482</v>
      </c>
      <c r="AQ310" s="212"/>
      <c r="AR310" s="212"/>
      <c r="AS310" s="212">
        <f t="shared" ref="AS310" si="510">V310+AP310</f>
        <v>46823</v>
      </c>
      <c r="AT310" s="212">
        <f t="shared" ref="AT310" si="511">AU310</f>
        <v>18837</v>
      </c>
      <c r="AU310" s="212">
        <f t="shared" ref="AU310" si="512">AH310+AP310</f>
        <v>18837</v>
      </c>
      <c r="AV310" s="212">
        <f t="shared" ref="AV310" si="513">AW310</f>
        <v>3600</v>
      </c>
      <c r="AW310" s="212">
        <v>3600</v>
      </c>
      <c r="AX310" s="212"/>
      <c r="AY310" s="212"/>
      <c r="AZ310" s="261"/>
      <c r="BA310" s="201"/>
    </row>
    <row r="311" spans="1:53" s="270" customFormat="1" ht="27.95" hidden="1" customHeight="1">
      <c r="A311" s="258">
        <v>1</v>
      </c>
      <c r="B311" s="274" t="s">
        <v>552</v>
      </c>
      <c r="C311" s="243" t="s">
        <v>350</v>
      </c>
      <c r="D311" s="243"/>
      <c r="E311" s="243"/>
      <c r="F311" s="243"/>
      <c r="G311" s="272"/>
      <c r="H311" s="272"/>
      <c r="I311" s="248"/>
      <c r="J311" s="212"/>
      <c r="K311" s="212"/>
      <c r="L311" s="212"/>
      <c r="M311" s="212"/>
      <c r="N311" s="212"/>
      <c r="O311" s="212"/>
      <c r="P311" s="212">
        <f t="shared" ref="P311:Q314" si="514">L311+W311</f>
        <v>91</v>
      </c>
      <c r="Q311" s="212">
        <f t="shared" si="514"/>
        <v>91</v>
      </c>
      <c r="R311" s="212">
        <v>5500</v>
      </c>
      <c r="S311" s="212">
        <v>5500</v>
      </c>
      <c r="T311" s="212"/>
      <c r="U311" s="212"/>
      <c r="V311" s="212"/>
      <c r="W311" s="212">
        <v>91</v>
      </c>
      <c r="X311" s="212">
        <v>91</v>
      </c>
      <c r="Y311" s="212"/>
      <c r="Z311" s="212"/>
      <c r="AA311" s="212"/>
      <c r="AB311" s="212"/>
      <c r="AC311" s="212"/>
      <c r="AD311" s="212"/>
      <c r="AE311" s="212"/>
      <c r="AF311" s="212"/>
      <c r="AG311" s="212">
        <f t="shared" si="496"/>
        <v>91</v>
      </c>
      <c r="AH311" s="212">
        <f t="shared" si="497"/>
        <v>91</v>
      </c>
      <c r="AI311" s="212"/>
      <c r="AJ311" s="212"/>
      <c r="AK311" s="212">
        <f t="shared" ref="AK311:AL330" si="515">AO311</f>
        <v>4000</v>
      </c>
      <c r="AL311" s="212">
        <f t="shared" ref="AL311:AL330" si="516">AP311</f>
        <v>4000</v>
      </c>
      <c r="AM311" s="212">
        <f t="shared" ref="AM311:AM330" si="517">AQ311</f>
        <v>0</v>
      </c>
      <c r="AN311" s="212">
        <f t="shared" ref="AN311:AN330" si="518">AR311</f>
        <v>0</v>
      </c>
      <c r="AO311" s="212">
        <f>AP311</f>
        <v>4000</v>
      </c>
      <c r="AP311" s="212">
        <v>4000</v>
      </c>
      <c r="AQ311" s="212"/>
      <c r="AR311" s="212"/>
      <c r="AS311" s="212"/>
      <c r="AT311" s="212"/>
      <c r="AU311" s="212"/>
      <c r="AV311" s="212"/>
      <c r="AW311" s="212"/>
      <c r="AX311" s="212"/>
      <c r="AY311" s="212"/>
      <c r="AZ311" s="272"/>
      <c r="BA311" s="279"/>
    </row>
    <row r="312" spans="1:53" s="270" customFormat="1" ht="39.75" hidden="1" customHeight="1">
      <c r="A312" s="258">
        <v>1</v>
      </c>
      <c r="B312" s="274" t="s">
        <v>553</v>
      </c>
      <c r="C312" s="243" t="s">
        <v>383</v>
      </c>
      <c r="D312" s="243"/>
      <c r="E312" s="243" t="s">
        <v>826</v>
      </c>
      <c r="F312" s="243"/>
      <c r="G312" s="272"/>
      <c r="H312" s="272"/>
      <c r="I312" s="315" t="s">
        <v>803</v>
      </c>
      <c r="J312" s="489">
        <v>1150</v>
      </c>
      <c r="K312" s="489">
        <f>J312</f>
        <v>1150</v>
      </c>
      <c r="L312" s="212"/>
      <c r="M312" s="212"/>
      <c r="N312" s="212"/>
      <c r="O312" s="212"/>
      <c r="P312" s="212">
        <f t="shared" si="514"/>
        <v>0</v>
      </c>
      <c r="Q312" s="212">
        <f t="shared" si="514"/>
        <v>0</v>
      </c>
      <c r="R312" s="212">
        <f>S312</f>
        <v>1150</v>
      </c>
      <c r="S312" s="212">
        <v>1150</v>
      </c>
      <c r="T312" s="212"/>
      <c r="U312" s="212"/>
      <c r="V312" s="212"/>
      <c r="W312" s="212"/>
      <c r="X312" s="212"/>
      <c r="Y312" s="212"/>
      <c r="Z312" s="212"/>
      <c r="AA312" s="212">
        <v>24</v>
      </c>
      <c r="AB312" s="212">
        <v>24</v>
      </c>
      <c r="AC312" s="212"/>
      <c r="AD312" s="212"/>
      <c r="AE312" s="212"/>
      <c r="AF312" s="212"/>
      <c r="AG312" s="212">
        <f t="shared" si="496"/>
        <v>24</v>
      </c>
      <c r="AH312" s="212">
        <f t="shared" si="497"/>
        <v>24</v>
      </c>
      <c r="AI312" s="212"/>
      <c r="AJ312" s="212"/>
      <c r="AK312" s="212">
        <f t="shared" si="515"/>
        <v>1080</v>
      </c>
      <c r="AL312" s="212">
        <f t="shared" si="515"/>
        <v>1080</v>
      </c>
      <c r="AM312" s="212">
        <f t="shared" si="517"/>
        <v>0</v>
      </c>
      <c r="AN312" s="212">
        <f t="shared" si="518"/>
        <v>0</v>
      </c>
      <c r="AO312" s="212">
        <f>1200/100*90</f>
        <v>1080</v>
      </c>
      <c r="AP312" s="212">
        <v>1080</v>
      </c>
      <c r="AQ312" s="212"/>
      <c r="AR312" s="212"/>
      <c r="AS312" s="212">
        <f t="shared" ref="AS312" si="519">V312+AP312</f>
        <v>1080</v>
      </c>
      <c r="AT312" s="212">
        <f t="shared" ref="AT312" si="520">AU312</f>
        <v>1104</v>
      </c>
      <c r="AU312" s="212">
        <f t="shared" ref="AU312" si="521">AH312+AP312</f>
        <v>1104</v>
      </c>
      <c r="AV312" s="212">
        <f t="shared" ref="AV312" si="522">AW312</f>
        <v>0</v>
      </c>
      <c r="AW312" s="212"/>
      <c r="AX312" s="212"/>
      <c r="AY312" s="212"/>
      <c r="AZ312" s="243"/>
      <c r="BA312" s="279"/>
    </row>
    <row r="313" spans="1:53" s="262" customFormat="1" ht="49.5" hidden="1" customHeight="1">
      <c r="A313" s="258">
        <v>2</v>
      </c>
      <c r="B313" s="267" t="s">
        <v>554</v>
      </c>
      <c r="C313" s="209" t="s">
        <v>348</v>
      </c>
      <c r="D313" s="209"/>
      <c r="E313" s="243" t="s">
        <v>828</v>
      </c>
      <c r="F313" s="209"/>
      <c r="G313" s="243"/>
      <c r="H313" s="243" t="s">
        <v>567</v>
      </c>
      <c r="I313" s="248" t="s">
        <v>555</v>
      </c>
      <c r="J313" s="212">
        <v>1000</v>
      </c>
      <c r="K313" s="212">
        <v>1000</v>
      </c>
      <c r="L313" s="212"/>
      <c r="M313" s="212"/>
      <c r="N313" s="212"/>
      <c r="O313" s="212"/>
      <c r="P313" s="212">
        <f t="shared" si="514"/>
        <v>0</v>
      </c>
      <c r="Q313" s="212">
        <f t="shared" si="514"/>
        <v>0</v>
      </c>
      <c r="R313" s="212">
        <v>1000</v>
      </c>
      <c r="S313" s="212">
        <v>1000</v>
      </c>
      <c r="T313" s="212"/>
      <c r="U313" s="212"/>
      <c r="V313" s="212"/>
      <c r="W313" s="212"/>
      <c r="X313" s="212"/>
      <c r="Y313" s="212"/>
      <c r="Z313" s="212"/>
      <c r="AA313" s="212">
        <v>20</v>
      </c>
      <c r="AB313" s="212">
        <v>20</v>
      </c>
      <c r="AC313" s="212"/>
      <c r="AD313" s="212"/>
      <c r="AE313" s="212"/>
      <c r="AF313" s="212"/>
      <c r="AG313" s="212">
        <f t="shared" si="496"/>
        <v>20</v>
      </c>
      <c r="AH313" s="212">
        <f t="shared" si="497"/>
        <v>20</v>
      </c>
      <c r="AI313" s="212"/>
      <c r="AJ313" s="212"/>
      <c r="AK313" s="212">
        <f t="shared" ref="AK313:AK314" si="523">AO313</f>
        <v>980</v>
      </c>
      <c r="AL313" s="212">
        <f t="shared" ref="AL313:AL314" si="524">AP313</f>
        <v>980</v>
      </c>
      <c r="AM313" s="212">
        <f t="shared" si="517"/>
        <v>0</v>
      </c>
      <c r="AN313" s="212">
        <f t="shared" si="518"/>
        <v>0</v>
      </c>
      <c r="AO313" s="212">
        <f>AP313</f>
        <v>980</v>
      </c>
      <c r="AP313" s="212">
        <v>980</v>
      </c>
      <c r="AQ313" s="212"/>
      <c r="AR313" s="212"/>
      <c r="AS313" s="212">
        <f t="shared" ref="AS313" si="525">V313+AP313</f>
        <v>980</v>
      </c>
      <c r="AT313" s="212">
        <f t="shared" ref="AT313:AT314" si="526">AU313</f>
        <v>1000</v>
      </c>
      <c r="AU313" s="212">
        <f t="shared" ref="AU313:AU314" si="527">AH313+AP313</f>
        <v>1000</v>
      </c>
      <c r="AV313" s="212">
        <f t="shared" ref="AV313:AV314" si="528">AW313</f>
        <v>0</v>
      </c>
      <c r="AW313" s="212"/>
      <c r="AX313" s="212"/>
      <c r="AY313" s="212"/>
      <c r="AZ313" s="315"/>
      <c r="BA313" s="201"/>
    </row>
    <row r="314" spans="1:53" s="262" customFormat="1" ht="50.25" customHeight="1">
      <c r="A314" s="258">
        <v>2</v>
      </c>
      <c r="B314" s="274" t="s">
        <v>807</v>
      </c>
      <c r="C314" s="243" t="s">
        <v>350</v>
      </c>
      <c r="D314" s="243"/>
      <c r="E314" s="243" t="s">
        <v>827</v>
      </c>
      <c r="F314" s="243"/>
      <c r="G314" s="243"/>
      <c r="H314" s="303" t="s">
        <v>676</v>
      </c>
      <c r="I314" s="303" t="s">
        <v>941</v>
      </c>
      <c r="J314" s="212">
        <f>+K314</f>
        <v>5000</v>
      </c>
      <c r="K314" s="212">
        <v>5000</v>
      </c>
      <c r="L314" s="212"/>
      <c r="M314" s="212"/>
      <c r="N314" s="212"/>
      <c r="O314" s="212"/>
      <c r="P314" s="212">
        <f t="shared" si="514"/>
        <v>0</v>
      </c>
      <c r="Q314" s="212">
        <f t="shared" si="514"/>
        <v>0</v>
      </c>
      <c r="R314" s="212">
        <v>5000</v>
      </c>
      <c r="S314" s="212">
        <v>5000</v>
      </c>
      <c r="T314" s="212"/>
      <c r="U314" s="212"/>
      <c r="V314" s="212"/>
      <c r="W314" s="212"/>
      <c r="X314" s="212"/>
      <c r="Y314" s="212"/>
      <c r="Z314" s="212"/>
      <c r="AA314" s="212">
        <v>210</v>
      </c>
      <c r="AB314" s="212">
        <v>210</v>
      </c>
      <c r="AC314" s="212"/>
      <c r="AD314" s="212"/>
      <c r="AE314" s="212"/>
      <c r="AF314" s="212"/>
      <c r="AG314" s="212">
        <f t="shared" ref="AG314:AH314" si="529">W314+AA314</f>
        <v>210</v>
      </c>
      <c r="AH314" s="212">
        <f t="shared" si="529"/>
        <v>210</v>
      </c>
      <c r="AI314" s="212"/>
      <c r="AJ314" s="212"/>
      <c r="AK314" s="212">
        <f t="shared" si="523"/>
        <v>2000</v>
      </c>
      <c r="AL314" s="212">
        <f t="shared" si="524"/>
        <v>2000</v>
      </c>
      <c r="AM314" s="212">
        <f t="shared" ref="AM314:AN314" si="530">AQ314</f>
        <v>0</v>
      </c>
      <c r="AN314" s="212">
        <f t="shared" si="530"/>
        <v>0</v>
      </c>
      <c r="AO314" s="212">
        <f>AP314</f>
        <v>2000</v>
      </c>
      <c r="AP314" s="212">
        <v>2000</v>
      </c>
      <c r="AQ314" s="212"/>
      <c r="AR314" s="212"/>
      <c r="AS314" s="212">
        <v>2210</v>
      </c>
      <c r="AT314" s="212">
        <f t="shared" si="526"/>
        <v>2210</v>
      </c>
      <c r="AU314" s="212">
        <f t="shared" si="527"/>
        <v>2210</v>
      </c>
      <c r="AV314" s="212">
        <f t="shared" si="528"/>
        <v>2790</v>
      </c>
      <c r="AW314" s="212">
        <f>S314-AU314</f>
        <v>2790</v>
      </c>
      <c r="AX314" s="212"/>
      <c r="AY314" s="212"/>
      <c r="AZ314" s="315"/>
      <c r="BA314" s="201">
        <f>AW314</f>
        <v>2790</v>
      </c>
    </row>
    <row r="315" spans="1:53" s="251" customFormat="1" ht="36.6" customHeight="1">
      <c r="A315" s="263" t="s">
        <v>279</v>
      </c>
      <c r="B315" s="253" t="s">
        <v>901</v>
      </c>
      <c r="C315" s="213"/>
      <c r="D315" s="213"/>
      <c r="E315" s="213"/>
      <c r="F315" s="213"/>
      <c r="G315" s="229"/>
      <c r="H315" s="229"/>
      <c r="I315" s="231"/>
      <c r="J315" s="215">
        <f t="shared" ref="J315:U315" si="531">J316</f>
        <v>159340</v>
      </c>
      <c r="K315" s="215">
        <f t="shared" si="531"/>
        <v>63202</v>
      </c>
      <c r="L315" s="215">
        <f t="shared" si="531"/>
        <v>0</v>
      </c>
      <c r="M315" s="215">
        <f t="shared" si="531"/>
        <v>0</v>
      </c>
      <c r="N315" s="215">
        <f t="shared" si="531"/>
        <v>0</v>
      </c>
      <c r="O315" s="215">
        <f t="shared" si="531"/>
        <v>0</v>
      </c>
      <c r="P315" s="215">
        <f t="shared" si="531"/>
        <v>0</v>
      </c>
      <c r="Q315" s="215">
        <f t="shared" si="531"/>
        <v>0</v>
      </c>
      <c r="R315" s="215">
        <f t="shared" si="531"/>
        <v>118427</v>
      </c>
      <c r="S315" s="215">
        <f t="shared" si="531"/>
        <v>35789</v>
      </c>
      <c r="T315" s="215">
        <f t="shared" si="531"/>
        <v>0</v>
      </c>
      <c r="U315" s="215">
        <f t="shared" si="531"/>
        <v>0</v>
      </c>
      <c r="V315" s="215"/>
      <c r="W315" s="215">
        <f t="shared" ref="W315:AH315" si="532">W316</f>
        <v>0</v>
      </c>
      <c r="X315" s="215">
        <f t="shared" si="532"/>
        <v>0</v>
      </c>
      <c r="Y315" s="215">
        <f t="shared" si="532"/>
        <v>0</v>
      </c>
      <c r="Z315" s="215">
        <f t="shared" si="532"/>
        <v>0</v>
      </c>
      <c r="AA315" s="215">
        <f t="shared" si="532"/>
        <v>0</v>
      </c>
      <c r="AB315" s="215">
        <f t="shared" si="532"/>
        <v>0</v>
      </c>
      <c r="AC315" s="215">
        <f t="shared" si="532"/>
        <v>0</v>
      </c>
      <c r="AD315" s="215">
        <f t="shared" si="532"/>
        <v>0</v>
      </c>
      <c r="AE315" s="215">
        <f t="shared" si="532"/>
        <v>0</v>
      </c>
      <c r="AF315" s="215">
        <f t="shared" si="532"/>
        <v>0</v>
      </c>
      <c r="AG315" s="215">
        <f t="shared" si="532"/>
        <v>0</v>
      </c>
      <c r="AH315" s="215">
        <f t="shared" si="532"/>
        <v>0</v>
      </c>
      <c r="AI315" s="215"/>
      <c r="AJ315" s="215"/>
      <c r="AK315" s="215">
        <f t="shared" ref="AK315:AW315" si="533">AK316</f>
        <v>1050</v>
      </c>
      <c r="AL315" s="215">
        <f t="shared" si="533"/>
        <v>1050</v>
      </c>
      <c r="AM315" s="215">
        <f t="shared" si="533"/>
        <v>0</v>
      </c>
      <c r="AN315" s="215">
        <f t="shared" si="533"/>
        <v>0</v>
      </c>
      <c r="AO315" s="215">
        <f t="shared" si="533"/>
        <v>1050</v>
      </c>
      <c r="AP315" s="215">
        <f t="shared" si="533"/>
        <v>1050</v>
      </c>
      <c r="AQ315" s="215">
        <f t="shared" si="533"/>
        <v>0</v>
      </c>
      <c r="AR315" s="215">
        <f t="shared" si="533"/>
        <v>0</v>
      </c>
      <c r="AS315" s="215">
        <f t="shared" si="533"/>
        <v>48900</v>
      </c>
      <c r="AT315" s="215">
        <f t="shared" si="533"/>
        <v>48900</v>
      </c>
      <c r="AU315" s="215">
        <f t="shared" si="533"/>
        <v>6350</v>
      </c>
      <c r="AV315" s="215">
        <f t="shared" si="533"/>
        <v>17597</v>
      </c>
      <c r="AW315" s="215">
        <f t="shared" si="533"/>
        <v>17597</v>
      </c>
      <c r="AX315" s="604"/>
      <c r="AY315" s="604"/>
      <c r="AZ315" s="333"/>
      <c r="BA315" s="232"/>
    </row>
    <row r="316" spans="1:53" s="251" customFormat="1" ht="26.45" customHeight="1">
      <c r="A316" s="275" t="s">
        <v>35</v>
      </c>
      <c r="B316" s="236" t="s">
        <v>45</v>
      </c>
      <c r="C316" s="213"/>
      <c r="D316" s="213"/>
      <c r="E316" s="213"/>
      <c r="F316" s="213"/>
      <c r="G316" s="229"/>
      <c r="H316" s="229"/>
      <c r="I316" s="231"/>
      <c r="J316" s="215">
        <f t="shared" ref="J316:AY316" si="534">SUM(J317:J324)</f>
        <v>159340</v>
      </c>
      <c r="K316" s="215">
        <f t="shared" si="534"/>
        <v>63202</v>
      </c>
      <c r="L316" s="215">
        <f t="shared" si="534"/>
        <v>0</v>
      </c>
      <c r="M316" s="215">
        <f t="shared" si="534"/>
        <v>0</v>
      </c>
      <c r="N316" s="215">
        <f t="shared" si="534"/>
        <v>0</v>
      </c>
      <c r="O316" s="215">
        <f t="shared" si="534"/>
        <v>0</v>
      </c>
      <c r="P316" s="215">
        <f t="shared" si="534"/>
        <v>0</v>
      </c>
      <c r="Q316" s="215">
        <f t="shared" si="534"/>
        <v>0</v>
      </c>
      <c r="R316" s="215">
        <f t="shared" si="534"/>
        <v>118427</v>
      </c>
      <c r="S316" s="215">
        <f t="shared" si="534"/>
        <v>35789</v>
      </c>
      <c r="T316" s="215">
        <f t="shared" si="534"/>
        <v>0</v>
      </c>
      <c r="U316" s="215">
        <f t="shared" si="534"/>
        <v>0</v>
      </c>
      <c r="V316" s="215">
        <f t="shared" si="534"/>
        <v>0</v>
      </c>
      <c r="W316" s="215">
        <f t="shared" si="534"/>
        <v>0</v>
      </c>
      <c r="X316" s="215">
        <f t="shared" si="534"/>
        <v>0</v>
      </c>
      <c r="Y316" s="215">
        <f t="shared" si="534"/>
        <v>0</v>
      </c>
      <c r="Z316" s="215">
        <f t="shared" si="534"/>
        <v>0</v>
      </c>
      <c r="AA316" s="215">
        <f t="shared" si="534"/>
        <v>0</v>
      </c>
      <c r="AB316" s="215">
        <f t="shared" si="534"/>
        <v>0</v>
      </c>
      <c r="AC316" s="215">
        <f t="shared" si="534"/>
        <v>0</v>
      </c>
      <c r="AD316" s="215">
        <f t="shared" si="534"/>
        <v>0</v>
      </c>
      <c r="AE316" s="215">
        <f t="shared" si="534"/>
        <v>0</v>
      </c>
      <c r="AF316" s="215">
        <f t="shared" si="534"/>
        <v>0</v>
      </c>
      <c r="AG316" s="215">
        <f t="shared" si="534"/>
        <v>0</v>
      </c>
      <c r="AH316" s="215">
        <f t="shared" si="534"/>
        <v>0</v>
      </c>
      <c r="AI316" s="215">
        <f t="shared" si="534"/>
        <v>0</v>
      </c>
      <c r="AJ316" s="215">
        <f t="shared" si="534"/>
        <v>0</v>
      </c>
      <c r="AK316" s="215">
        <f t="shared" si="534"/>
        <v>1050</v>
      </c>
      <c r="AL316" s="215">
        <f t="shared" si="534"/>
        <v>1050</v>
      </c>
      <c r="AM316" s="215">
        <f t="shared" si="534"/>
        <v>0</v>
      </c>
      <c r="AN316" s="215">
        <f t="shared" si="534"/>
        <v>0</v>
      </c>
      <c r="AO316" s="215">
        <f t="shared" si="534"/>
        <v>1050</v>
      </c>
      <c r="AP316" s="215">
        <f t="shared" si="534"/>
        <v>1050</v>
      </c>
      <c r="AQ316" s="215">
        <f t="shared" si="534"/>
        <v>0</v>
      </c>
      <c r="AR316" s="215">
        <f t="shared" si="534"/>
        <v>0</v>
      </c>
      <c r="AS316" s="215">
        <f t="shared" si="534"/>
        <v>48900</v>
      </c>
      <c r="AT316" s="215">
        <f t="shared" si="534"/>
        <v>48900</v>
      </c>
      <c r="AU316" s="215">
        <f t="shared" si="534"/>
        <v>6350</v>
      </c>
      <c r="AV316" s="215">
        <f t="shared" si="534"/>
        <v>17597</v>
      </c>
      <c r="AW316" s="215">
        <f t="shared" si="534"/>
        <v>17597</v>
      </c>
      <c r="AX316" s="215">
        <f t="shared" si="534"/>
        <v>0</v>
      </c>
      <c r="AY316" s="215">
        <f t="shared" si="534"/>
        <v>0</v>
      </c>
      <c r="AZ316" s="333"/>
      <c r="BA316" s="232"/>
    </row>
    <row r="317" spans="1:53" s="262" customFormat="1" ht="41.25" customHeight="1">
      <c r="A317" s="258">
        <v>1</v>
      </c>
      <c r="B317" s="267" t="s">
        <v>924</v>
      </c>
      <c r="C317" s="649"/>
      <c r="D317" s="649"/>
      <c r="E317" s="243" t="s">
        <v>947</v>
      </c>
      <c r="F317" s="649"/>
      <c r="G317" s="243"/>
      <c r="H317" s="243"/>
      <c r="I317" s="248" t="s">
        <v>925</v>
      </c>
      <c r="J317" s="212">
        <v>125000</v>
      </c>
      <c r="K317" s="212">
        <v>30362</v>
      </c>
      <c r="L317" s="212"/>
      <c r="M317" s="212"/>
      <c r="N317" s="212"/>
      <c r="O317" s="212"/>
      <c r="P317" s="212"/>
      <c r="Q317" s="212"/>
      <c r="R317" s="273">
        <f>81138+S317</f>
        <v>87847</v>
      </c>
      <c r="S317" s="273">
        <v>6709</v>
      </c>
      <c r="T317" s="212"/>
      <c r="U317" s="212"/>
      <c r="V317" s="212"/>
      <c r="W317" s="212"/>
      <c r="X317" s="212"/>
      <c r="Y317" s="212"/>
      <c r="Z317" s="212"/>
      <c r="AA317" s="273"/>
      <c r="AB317" s="273"/>
      <c r="AC317" s="212"/>
      <c r="AD317" s="212"/>
      <c r="AE317" s="304"/>
      <c r="AF317" s="304"/>
      <c r="AG317" s="212"/>
      <c r="AH317" s="212"/>
      <c r="AI317" s="212"/>
      <c r="AJ317" s="212"/>
      <c r="AK317" s="212"/>
      <c r="AL317" s="212"/>
      <c r="AM317" s="212"/>
      <c r="AN317" s="212"/>
      <c r="AO317" s="304"/>
      <c r="AP317" s="212"/>
      <c r="AQ317" s="304"/>
      <c r="AR317" s="304"/>
      <c r="AS317" s="212">
        <v>42550</v>
      </c>
      <c r="AT317" s="212">
        <v>42550</v>
      </c>
      <c r="AU317" s="212"/>
      <c r="AV317" s="212">
        <f t="shared" ref="AV317:AV318" si="535">AW317</f>
        <v>5000</v>
      </c>
      <c r="AW317" s="212">
        <v>5000</v>
      </c>
      <c r="AX317" s="304"/>
      <c r="AY317" s="304"/>
      <c r="AZ317" s="332"/>
      <c r="BA317" s="201"/>
    </row>
    <row r="318" spans="1:53" s="262" customFormat="1" ht="44.45" customHeight="1">
      <c r="A318" s="258">
        <v>2</v>
      </c>
      <c r="B318" s="267" t="s">
        <v>926</v>
      </c>
      <c r="C318" s="649" t="s">
        <v>927</v>
      </c>
      <c r="D318" s="649"/>
      <c r="E318" s="243" t="s">
        <v>947</v>
      </c>
      <c r="F318" s="649"/>
      <c r="G318" s="243"/>
      <c r="H318" s="243"/>
      <c r="I318" s="248" t="s">
        <v>928</v>
      </c>
      <c r="J318" s="212">
        <f>K318</f>
        <v>5900</v>
      </c>
      <c r="K318" s="212">
        <v>5900</v>
      </c>
      <c r="L318" s="212"/>
      <c r="M318" s="212"/>
      <c r="N318" s="212"/>
      <c r="O318" s="212"/>
      <c r="P318" s="212"/>
      <c r="Q318" s="212"/>
      <c r="R318" s="273">
        <f>S318</f>
        <v>2140</v>
      </c>
      <c r="S318" s="273">
        <v>2140</v>
      </c>
      <c r="T318" s="212"/>
      <c r="U318" s="212"/>
      <c r="V318" s="212"/>
      <c r="W318" s="212"/>
      <c r="X318" s="212"/>
      <c r="Y318" s="212"/>
      <c r="Z318" s="212"/>
      <c r="AA318" s="273"/>
      <c r="AB318" s="273"/>
      <c r="AC318" s="212"/>
      <c r="AD318" s="212"/>
      <c r="AE318" s="304"/>
      <c r="AF318" s="304"/>
      <c r="AG318" s="212"/>
      <c r="AH318" s="212"/>
      <c r="AI318" s="212"/>
      <c r="AJ318" s="212"/>
      <c r="AK318" s="212"/>
      <c r="AL318" s="212"/>
      <c r="AM318" s="212"/>
      <c r="AN318" s="212"/>
      <c r="AO318" s="304"/>
      <c r="AP318" s="212"/>
      <c r="AQ318" s="304"/>
      <c r="AR318" s="304"/>
      <c r="AS318" s="212"/>
      <c r="AT318" s="212"/>
      <c r="AU318" s="212"/>
      <c r="AV318" s="212">
        <f t="shared" si="535"/>
        <v>2140</v>
      </c>
      <c r="AW318" s="212">
        <f t="shared" ref="AW318" si="536">S318-AU318</f>
        <v>2140</v>
      </c>
      <c r="AX318" s="304"/>
      <c r="AY318" s="304"/>
      <c r="AZ318" s="332" t="s">
        <v>907</v>
      </c>
      <c r="BA318" s="201"/>
    </row>
    <row r="319" spans="1:53" s="262" customFormat="1" ht="45.6" customHeight="1">
      <c r="A319" s="258">
        <v>3</v>
      </c>
      <c r="B319" s="267" t="s">
        <v>556</v>
      </c>
      <c r="C319" s="649" t="s">
        <v>557</v>
      </c>
      <c r="D319" s="649"/>
      <c r="E319" s="243" t="s">
        <v>946</v>
      </c>
      <c r="F319" s="649"/>
      <c r="G319" s="243"/>
      <c r="H319" s="243" t="s">
        <v>367</v>
      </c>
      <c r="I319" s="248" t="s">
        <v>942</v>
      </c>
      <c r="J319" s="212">
        <f>+K319</f>
        <v>3900</v>
      </c>
      <c r="K319" s="212">
        <v>3900</v>
      </c>
      <c r="L319" s="212"/>
      <c r="M319" s="212"/>
      <c r="N319" s="212"/>
      <c r="O319" s="212"/>
      <c r="P319" s="212">
        <f t="shared" ref="P319:Q319" si="537">L319+W319</f>
        <v>0</v>
      </c>
      <c r="Q319" s="212">
        <f t="shared" si="537"/>
        <v>0</v>
      </c>
      <c r="R319" s="273">
        <v>3900</v>
      </c>
      <c r="S319" s="273">
        <v>3900</v>
      </c>
      <c r="T319" s="212"/>
      <c r="U319" s="212"/>
      <c r="V319" s="212"/>
      <c r="W319" s="212"/>
      <c r="X319" s="212"/>
      <c r="Y319" s="212"/>
      <c r="Z319" s="212"/>
      <c r="AA319" s="273"/>
      <c r="AB319" s="273"/>
      <c r="AC319" s="212"/>
      <c r="AD319" s="212"/>
      <c r="AE319" s="304"/>
      <c r="AF319" s="304"/>
      <c r="AG319" s="212">
        <f t="shared" si="496"/>
        <v>0</v>
      </c>
      <c r="AH319" s="212">
        <f t="shared" si="497"/>
        <v>0</v>
      </c>
      <c r="AI319" s="212"/>
      <c r="AJ319" s="212"/>
      <c r="AK319" s="212">
        <f t="shared" si="515"/>
        <v>350</v>
      </c>
      <c r="AL319" s="212">
        <f t="shared" si="516"/>
        <v>350</v>
      </c>
      <c r="AM319" s="212">
        <f t="shared" si="517"/>
        <v>0</v>
      </c>
      <c r="AN319" s="212">
        <f t="shared" si="518"/>
        <v>0</v>
      </c>
      <c r="AO319" s="304">
        <f>AP319</f>
        <v>350</v>
      </c>
      <c r="AP319" s="212">
        <v>350</v>
      </c>
      <c r="AQ319" s="304"/>
      <c r="AR319" s="304"/>
      <c r="AS319" s="212">
        <f t="shared" ref="AS319" si="538">V319+AP319</f>
        <v>350</v>
      </c>
      <c r="AT319" s="212">
        <f t="shared" ref="AT319" si="539">AU319</f>
        <v>350</v>
      </c>
      <c r="AU319" s="212">
        <f t="shared" ref="AU319" si="540">AH319+AP319</f>
        <v>350</v>
      </c>
      <c r="AV319" s="212">
        <f t="shared" ref="AV319" si="541">AW319</f>
        <v>2500</v>
      </c>
      <c r="AW319" s="212">
        <v>2500</v>
      </c>
      <c r="AX319" s="304"/>
      <c r="AY319" s="304"/>
      <c r="AZ319" s="332" t="s">
        <v>907</v>
      </c>
      <c r="BA319" s="201"/>
    </row>
    <row r="320" spans="1:53" s="262" customFormat="1" ht="52.5" customHeight="1">
      <c r="A320" s="258">
        <v>4</v>
      </c>
      <c r="B320" s="500" t="s">
        <v>948</v>
      </c>
      <c r="C320" s="260" t="s">
        <v>348</v>
      </c>
      <c r="D320" s="260"/>
      <c r="E320" s="243" t="s">
        <v>811</v>
      </c>
      <c r="F320" s="260"/>
      <c r="G320" s="243"/>
      <c r="H320" s="243" t="s">
        <v>676</v>
      </c>
      <c r="I320" s="303" t="s">
        <v>1036</v>
      </c>
      <c r="J320" s="489">
        <f>+K320</f>
        <v>3900</v>
      </c>
      <c r="K320" s="489">
        <v>3900</v>
      </c>
      <c r="L320" s="212"/>
      <c r="M320" s="212"/>
      <c r="N320" s="212"/>
      <c r="O320" s="212"/>
      <c r="P320" s="212"/>
      <c r="Q320" s="212"/>
      <c r="R320" s="273">
        <f>+S320</f>
        <v>3900</v>
      </c>
      <c r="S320" s="273">
        <v>3900</v>
      </c>
      <c r="T320" s="212"/>
      <c r="U320" s="212"/>
      <c r="V320" s="212"/>
      <c r="W320" s="212"/>
      <c r="X320" s="212"/>
      <c r="Y320" s="212"/>
      <c r="Z320" s="212"/>
      <c r="AA320" s="273"/>
      <c r="AB320" s="273"/>
      <c r="AC320" s="212"/>
      <c r="AD320" s="212"/>
      <c r="AE320" s="304"/>
      <c r="AF320" s="304"/>
      <c r="AG320" s="212"/>
      <c r="AH320" s="212"/>
      <c r="AI320" s="212"/>
      <c r="AJ320" s="212"/>
      <c r="AK320" s="212"/>
      <c r="AL320" s="212"/>
      <c r="AM320" s="212"/>
      <c r="AN320" s="212"/>
      <c r="AO320" s="304"/>
      <c r="AP320" s="212"/>
      <c r="AQ320" s="304"/>
      <c r="AR320" s="304"/>
      <c r="AS320" s="212"/>
      <c r="AT320" s="212"/>
      <c r="AU320" s="212"/>
      <c r="AV320" s="212">
        <f>+AW320</f>
        <v>2517</v>
      </c>
      <c r="AW320" s="212">
        <v>2517</v>
      </c>
      <c r="AX320" s="304"/>
      <c r="AY320" s="304"/>
      <c r="AZ320" s="332" t="s">
        <v>907</v>
      </c>
      <c r="BA320" s="201"/>
    </row>
    <row r="321" spans="1:53" s="262" customFormat="1" ht="49.5" customHeight="1">
      <c r="A321" s="258">
        <v>5</v>
      </c>
      <c r="B321" s="353" t="s">
        <v>867</v>
      </c>
      <c r="C321" s="649" t="s">
        <v>544</v>
      </c>
      <c r="D321" s="649"/>
      <c r="E321" s="243" t="s">
        <v>826</v>
      </c>
      <c r="F321" s="649"/>
      <c r="G321" s="243"/>
      <c r="H321" s="243" t="s">
        <v>684</v>
      </c>
      <c r="I321" s="248" t="s">
        <v>943</v>
      </c>
      <c r="J321" s="212">
        <v>12840</v>
      </c>
      <c r="K321" s="212">
        <v>11340</v>
      </c>
      <c r="L321" s="212"/>
      <c r="M321" s="212"/>
      <c r="N321" s="212"/>
      <c r="O321" s="212"/>
      <c r="P321" s="212"/>
      <c r="Q321" s="212"/>
      <c r="R321" s="212">
        <v>12840</v>
      </c>
      <c r="S321" s="212">
        <v>11340</v>
      </c>
      <c r="T321" s="212"/>
      <c r="U321" s="212"/>
      <c r="V321" s="212"/>
      <c r="W321" s="212"/>
      <c r="X321" s="212"/>
      <c r="Y321" s="212"/>
      <c r="Z321" s="212"/>
      <c r="AA321" s="273"/>
      <c r="AB321" s="273"/>
      <c r="AC321" s="212"/>
      <c r="AD321" s="212"/>
      <c r="AE321" s="304"/>
      <c r="AF321" s="304"/>
      <c r="AG321" s="212"/>
      <c r="AH321" s="212"/>
      <c r="AI321" s="212"/>
      <c r="AJ321" s="212"/>
      <c r="AK321" s="212"/>
      <c r="AL321" s="212"/>
      <c r="AM321" s="212"/>
      <c r="AN321" s="212"/>
      <c r="AO321" s="304"/>
      <c r="AP321" s="212"/>
      <c r="AQ321" s="304"/>
      <c r="AR321" s="304"/>
      <c r="AS321" s="212">
        <v>6000</v>
      </c>
      <c r="AT321" s="212">
        <v>6000</v>
      </c>
      <c r="AU321" s="212">
        <v>6000</v>
      </c>
      <c r="AV321" s="212">
        <f>+AW321</f>
        <v>5340</v>
      </c>
      <c r="AW321" s="212">
        <v>5340</v>
      </c>
      <c r="AX321" s="304"/>
      <c r="AY321" s="304"/>
      <c r="AZ321" s="332"/>
      <c r="BA321" s="201"/>
    </row>
    <row r="322" spans="1:53" s="251" customFormat="1" ht="24.75" customHeight="1">
      <c r="A322" s="263"/>
      <c r="B322" s="603" t="s">
        <v>169</v>
      </c>
      <c r="C322" s="252"/>
      <c r="D322" s="252"/>
      <c r="E322" s="229"/>
      <c r="F322" s="252"/>
      <c r="G322" s="229"/>
      <c r="H322" s="229"/>
      <c r="I322" s="231"/>
      <c r="J322" s="277"/>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277"/>
      <c r="AK322" s="277"/>
      <c r="AL322" s="277"/>
      <c r="AM322" s="277"/>
      <c r="AN322" s="277"/>
      <c r="AO322" s="277"/>
      <c r="AP322" s="277"/>
      <c r="AQ322" s="277"/>
      <c r="AR322" s="277"/>
      <c r="AS322" s="277"/>
      <c r="AT322" s="277"/>
      <c r="AU322" s="277"/>
      <c r="AV322" s="277"/>
      <c r="AW322" s="277"/>
      <c r="AX322" s="604"/>
      <c r="AY322" s="604"/>
      <c r="AZ322" s="333"/>
      <c r="BA322" s="232"/>
    </row>
    <row r="323" spans="1:53" s="262" customFormat="1" ht="42.95" customHeight="1">
      <c r="A323" s="258">
        <v>1</v>
      </c>
      <c r="B323" s="267" t="s">
        <v>922</v>
      </c>
      <c r="C323" s="260" t="s">
        <v>410</v>
      </c>
      <c r="D323" s="260"/>
      <c r="E323" s="243" t="s">
        <v>819</v>
      </c>
      <c r="F323" s="260"/>
      <c r="G323" s="243"/>
      <c r="H323" s="243"/>
      <c r="I323" s="248"/>
      <c r="J323" s="212">
        <f>+K323</f>
        <v>3900</v>
      </c>
      <c r="K323" s="212">
        <v>3900</v>
      </c>
      <c r="L323" s="212"/>
      <c r="M323" s="212"/>
      <c r="N323" s="212"/>
      <c r="O323" s="212"/>
      <c r="P323" s="212">
        <f t="shared" ref="P323:P324" si="542">L323+W323</f>
        <v>0</v>
      </c>
      <c r="Q323" s="212">
        <f t="shared" ref="Q323:Q324" si="543">M323+X323</f>
        <v>0</v>
      </c>
      <c r="R323" s="273">
        <v>3900</v>
      </c>
      <c r="S323" s="273">
        <v>3900</v>
      </c>
      <c r="T323" s="212"/>
      <c r="U323" s="212"/>
      <c r="V323" s="212"/>
      <c r="W323" s="212"/>
      <c r="X323" s="212"/>
      <c r="Y323" s="212"/>
      <c r="Z323" s="212"/>
      <c r="AA323" s="273"/>
      <c r="AB323" s="273"/>
      <c r="AC323" s="212"/>
      <c r="AD323" s="212"/>
      <c r="AE323" s="304"/>
      <c r="AF323" s="304"/>
      <c r="AG323" s="212">
        <f t="shared" ref="AG323:AG324" si="544">W323+AA323</f>
        <v>0</v>
      </c>
      <c r="AH323" s="212">
        <f t="shared" ref="AH323:AH324" si="545">X323+AB323</f>
        <v>0</v>
      </c>
      <c r="AI323" s="212"/>
      <c r="AJ323" s="212"/>
      <c r="AK323" s="212">
        <f t="shared" ref="AK323:AK324" si="546">AO323</f>
        <v>350</v>
      </c>
      <c r="AL323" s="212">
        <f t="shared" ref="AL323:AL324" si="547">AP323</f>
        <v>350</v>
      </c>
      <c r="AM323" s="212">
        <f t="shared" ref="AM323:AM324" si="548">AQ323</f>
        <v>0</v>
      </c>
      <c r="AN323" s="212">
        <f t="shared" ref="AN323:AN324" si="549">AR323</f>
        <v>0</v>
      </c>
      <c r="AO323" s="304">
        <f t="shared" ref="AO323:AO324" si="550">AP323</f>
        <v>350</v>
      </c>
      <c r="AP323" s="212">
        <v>350</v>
      </c>
      <c r="AQ323" s="304"/>
      <c r="AR323" s="304"/>
      <c r="AS323" s="212"/>
      <c r="AT323" s="212"/>
      <c r="AU323" s="212"/>
      <c r="AV323" s="212">
        <f>+AW323</f>
        <v>50</v>
      </c>
      <c r="AW323" s="212">
        <v>50</v>
      </c>
      <c r="AX323" s="304"/>
      <c r="AY323" s="304"/>
      <c r="AZ323" s="332" t="s">
        <v>944</v>
      </c>
      <c r="BA323" s="201"/>
    </row>
    <row r="324" spans="1:53" s="262" customFormat="1" ht="41.1" customHeight="1">
      <c r="A324" s="258">
        <v>2</v>
      </c>
      <c r="B324" s="267" t="s">
        <v>923</v>
      </c>
      <c r="C324" s="260" t="s">
        <v>492</v>
      </c>
      <c r="D324" s="260"/>
      <c r="E324" s="243" t="s">
        <v>823</v>
      </c>
      <c r="F324" s="260"/>
      <c r="G324" s="243"/>
      <c r="H324" s="243"/>
      <c r="I324" s="248"/>
      <c r="J324" s="212">
        <f>+K324</f>
        <v>3900</v>
      </c>
      <c r="K324" s="212">
        <v>3900</v>
      </c>
      <c r="L324" s="212"/>
      <c r="M324" s="212"/>
      <c r="N324" s="212"/>
      <c r="O324" s="212"/>
      <c r="P324" s="212">
        <f t="shared" si="542"/>
        <v>0</v>
      </c>
      <c r="Q324" s="212">
        <f t="shared" si="543"/>
        <v>0</v>
      </c>
      <c r="R324" s="273">
        <v>3900</v>
      </c>
      <c r="S324" s="273">
        <v>3900</v>
      </c>
      <c r="T324" s="212"/>
      <c r="U324" s="212"/>
      <c r="V324" s="212"/>
      <c r="W324" s="212"/>
      <c r="X324" s="212"/>
      <c r="Y324" s="212"/>
      <c r="Z324" s="212"/>
      <c r="AA324" s="273"/>
      <c r="AB324" s="273"/>
      <c r="AC324" s="212"/>
      <c r="AD324" s="212"/>
      <c r="AE324" s="304"/>
      <c r="AF324" s="304"/>
      <c r="AG324" s="212">
        <f t="shared" si="544"/>
        <v>0</v>
      </c>
      <c r="AH324" s="212">
        <f t="shared" si="545"/>
        <v>0</v>
      </c>
      <c r="AI324" s="212"/>
      <c r="AJ324" s="212"/>
      <c r="AK324" s="212">
        <f t="shared" si="546"/>
        <v>350</v>
      </c>
      <c r="AL324" s="212">
        <f t="shared" si="547"/>
        <v>350</v>
      </c>
      <c r="AM324" s="212">
        <f t="shared" si="548"/>
        <v>0</v>
      </c>
      <c r="AN324" s="212">
        <f t="shared" si="549"/>
        <v>0</v>
      </c>
      <c r="AO324" s="304">
        <f t="shared" si="550"/>
        <v>350</v>
      </c>
      <c r="AP324" s="212">
        <v>350</v>
      </c>
      <c r="AQ324" s="304"/>
      <c r="AR324" s="304"/>
      <c r="AS324" s="212"/>
      <c r="AT324" s="212"/>
      <c r="AU324" s="212"/>
      <c r="AV324" s="212">
        <f>+AW324</f>
        <v>50</v>
      </c>
      <c r="AW324" s="212">
        <v>50</v>
      </c>
      <c r="AX324" s="304"/>
      <c r="AY324" s="304"/>
      <c r="AZ324" s="332" t="s">
        <v>944</v>
      </c>
      <c r="BA324" s="201"/>
    </row>
    <row r="325" spans="1:53" s="262" customFormat="1" ht="21" customHeight="1">
      <c r="A325" s="258"/>
      <c r="B325" s="267"/>
      <c r="C325" s="260"/>
      <c r="D325" s="260"/>
      <c r="E325" s="243"/>
      <c r="F325" s="260"/>
      <c r="G325" s="243"/>
      <c r="H325" s="243"/>
      <c r="I325" s="248"/>
      <c r="J325" s="212"/>
      <c r="K325" s="212"/>
      <c r="L325" s="212"/>
      <c r="M325" s="212"/>
      <c r="N325" s="212"/>
      <c r="O325" s="212"/>
      <c r="P325" s="212"/>
      <c r="Q325" s="212"/>
      <c r="R325" s="273"/>
      <c r="S325" s="273"/>
      <c r="T325" s="212"/>
      <c r="U325" s="212"/>
      <c r="V325" s="212"/>
      <c r="W325" s="212"/>
      <c r="X325" s="212"/>
      <c r="Y325" s="212"/>
      <c r="Z325" s="212"/>
      <c r="AA325" s="273"/>
      <c r="AB325" s="273"/>
      <c r="AC325" s="212"/>
      <c r="AD325" s="212"/>
      <c r="AE325" s="304"/>
      <c r="AF325" s="304"/>
      <c r="AG325" s="212"/>
      <c r="AH325" s="212"/>
      <c r="AI325" s="212"/>
      <c r="AJ325" s="212"/>
      <c r="AK325" s="212"/>
      <c r="AL325" s="212"/>
      <c r="AM325" s="212"/>
      <c r="AN325" s="212"/>
      <c r="AO325" s="304"/>
      <c r="AP325" s="212"/>
      <c r="AQ325" s="304"/>
      <c r="AR325" s="304"/>
      <c r="AS325" s="212"/>
      <c r="AT325" s="212"/>
      <c r="AU325" s="212"/>
      <c r="AV325" s="212"/>
      <c r="AW325" s="212"/>
      <c r="AX325" s="304"/>
      <c r="AY325" s="304"/>
      <c r="AZ325" s="332"/>
      <c r="BA325" s="201"/>
    </row>
    <row r="326" spans="1:53" s="232" customFormat="1" ht="25.5" customHeight="1">
      <c r="A326" s="227"/>
      <c r="B326" s="334" t="s">
        <v>620</v>
      </c>
      <c r="C326" s="229"/>
      <c r="D326" s="229"/>
      <c r="E326" s="229"/>
      <c r="F326" s="229"/>
      <c r="G326" s="229"/>
      <c r="H326" s="229"/>
      <c r="I326" s="231"/>
      <c r="J326" s="215"/>
      <c r="K326" s="215"/>
      <c r="L326" s="215"/>
      <c r="M326" s="215"/>
      <c r="N326" s="215"/>
      <c r="O326" s="215"/>
      <c r="P326" s="212">
        <f>L326+W326</f>
        <v>0</v>
      </c>
      <c r="Q326" s="212">
        <f>M326+X326</f>
        <v>0</v>
      </c>
      <c r="R326" s="215"/>
      <c r="S326" s="215"/>
      <c r="T326" s="215"/>
      <c r="U326" s="215"/>
      <c r="V326" s="215"/>
      <c r="W326" s="215"/>
      <c r="X326" s="215"/>
      <c r="Y326" s="215"/>
      <c r="Z326" s="215"/>
      <c r="AA326" s="215"/>
      <c r="AB326" s="215">
        <v>9010</v>
      </c>
      <c r="AC326" s="215"/>
      <c r="AD326" s="215"/>
      <c r="AE326" s="215"/>
      <c r="AF326" s="215"/>
      <c r="AG326" s="215"/>
      <c r="AH326" s="215"/>
      <c r="AI326" s="215"/>
      <c r="AJ326" s="215"/>
      <c r="AK326" s="215"/>
      <c r="AL326" s="215"/>
      <c r="AM326" s="215"/>
      <c r="AN326" s="215"/>
      <c r="AO326" s="215"/>
      <c r="AP326" s="215">
        <v>9010</v>
      </c>
      <c r="AQ326" s="215"/>
      <c r="AR326" s="215"/>
      <c r="AS326" s="215"/>
      <c r="AT326" s="215"/>
      <c r="AU326" s="215"/>
      <c r="AV326" s="215"/>
      <c r="AW326" s="215">
        <v>9010</v>
      </c>
      <c r="AX326" s="215"/>
      <c r="AY326" s="215"/>
      <c r="AZ326" s="329"/>
    </row>
    <row r="327" spans="1:53" s="251" customFormat="1" ht="33.6" customHeight="1">
      <c r="A327" s="252" t="s">
        <v>559</v>
      </c>
      <c r="B327" s="280" t="s">
        <v>560</v>
      </c>
      <c r="C327" s="229"/>
      <c r="D327" s="229"/>
      <c r="E327" s="229"/>
      <c r="F327" s="229"/>
      <c r="G327" s="235"/>
      <c r="H327" s="229"/>
      <c r="I327" s="231"/>
      <c r="J327" s="215">
        <f>J328</f>
        <v>26700</v>
      </c>
      <c r="K327" s="215">
        <f t="shared" ref="K327:AW327" si="551">K328</f>
        <v>26700</v>
      </c>
      <c r="L327" s="215">
        <f t="shared" si="551"/>
        <v>0</v>
      </c>
      <c r="M327" s="215">
        <f t="shared" si="551"/>
        <v>0</v>
      </c>
      <c r="N327" s="215">
        <f t="shared" si="551"/>
        <v>0</v>
      </c>
      <c r="O327" s="215">
        <f t="shared" si="551"/>
        <v>0</v>
      </c>
      <c r="P327" s="215">
        <f t="shared" si="551"/>
        <v>347</v>
      </c>
      <c r="Q327" s="215">
        <f t="shared" si="551"/>
        <v>347</v>
      </c>
      <c r="R327" s="215">
        <f t="shared" si="551"/>
        <v>24030</v>
      </c>
      <c r="S327" s="215">
        <f t="shared" si="551"/>
        <v>24030</v>
      </c>
      <c r="T327" s="215">
        <f t="shared" si="551"/>
        <v>0</v>
      </c>
      <c r="U327" s="215">
        <f t="shared" si="551"/>
        <v>0</v>
      </c>
      <c r="V327" s="215">
        <f t="shared" si="551"/>
        <v>6000</v>
      </c>
      <c r="W327" s="215">
        <f t="shared" si="551"/>
        <v>347</v>
      </c>
      <c r="X327" s="215">
        <f t="shared" si="551"/>
        <v>347</v>
      </c>
      <c r="Y327" s="215">
        <f t="shared" si="551"/>
        <v>0</v>
      </c>
      <c r="Z327" s="215">
        <f t="shared" si="551"/>
        <v>0</v>
      </c>
      <c r="AA327" s="215">
        <f t="shared" si="551"/>
        <v>6000</v>
      </c>
      <c r="AB327" s="215">
        <f t="shared" si="551"/>
        <v>6000</v>
      </c>
      <c r="AC327" s="215">
        <f t="shared" si="551"/>
        <v>0</v>
      </c>
      <c r="AD327" s="215">
        <f t="shared" si="551"/>
        <v>0</v>
      </c>
      <c r="AE327" s="215">
        <f t="shared" si="551"/>
        <v>1837.98</v>
      </c>
      <c r="AF327" s="215">
        <f t="shared" si="551"/>
        <v>1837.98</v>
      </c>
      <c r="AG327" s="215">
        <f t="shared" si="551"/>
        <v>6347</v>
      </c>
      <c r="AH327" s="215">
        <f t="shared" si="551"/>
        <v>6347</v>
      </c>
      <c r="AI327" s="215">
        <f t="shared" si="551"/>
        <v>0</v>
      </c>
      <c r="AJ327" s="215">
        <f t="shared" si="551"/>
        <v>0</v>
      </c>
      <c r="AK327" s="215">
        <f t="shared" si="551"/>
        <v>7910</v>
      </c>
      <c r="AL327" s="215">
        <f t="shared" si="551"/>
        <v>7910</v>
      </c>
      <c r="AM327" s="215">
        <f t="shared" si="551"/>
        <v>0</v>
      </c>
      <c r="AN327" s="215">
        <f t="shared" si="551"/>
        <v>0</v>
      </c>
      <c r="AO327" s="215">
        <f t="shared" si="551"/>
        <v>7910</v>
      </c>
      <c r="AP327" s="215">
        <f t="shared" si="551"/>
        <v>7910</v>
      </c>
      <c r="AQ327" s="215">
        <f t="shared" si="551"/>
        <v>0</v>
      </c>
      <c r="AR327" s="215">
        <f t="shared" si="551"/>
        <v>0</v>
      </c>
      <c r="AS327" s="215">
        <f t="shared" si="551"/>
        <v>13910</v>
      </c>
      <c r="AT327" s="215">
        <f t="shared" si="551"/>
        <v>14257</v>
      </c>
      <c r="AU327" s="215">
        <f t="shared" si="551"/>
        <v>14257</v>
      </c>
      <c r="AV327" s="215">
        <f t="shared" si="551"/>
        <v>9010</v>
      </c>
      <c r="AW327" s="215">
        <f t="shared" si="551"/>
        <v>9010</v>
      </c>
      <c r="AX327" s="215"/>
      <c r="AY327" s="215"/>
      <c r="AZ327" s="265"/>
      <c r="BA327" s="232"/>
    </row>
    <row r="328" spans="1:53" s="251" customFormat="1" ht="24.75" customHeight="1">
      <c r="A328" s="227" t="s">
        <v>46</v>
      </c>
      <c r="B328" s="234" t="s">
        <v>897</v>
      </c>
      <c r="C328" s="229"/>
      <c r="D328" s="229"/>
      <c r="E328" s="229"/>
      <c r="F328" s="229"/>
      <c r="G328" s="229"/>
      <c r="H328" s="229"/>
      <c r="I328" s="231"/>
      <c r="J328" s="215">
        <f>J329</f>
        <v>26700</v>
      </c>
      <c r="K328" s="215">
        <f t="shared" ref="K328:AW328" si="552">K329</f>
        <v>26700</v>
      </c>
      <c r="L328" s="215">
        <f t="shared" si="552"/>
        <v>0</v>
      </c>
      <c r="M328" s="215">
        <f t="shared" si="552"/>
        <v>0</v>
      </c>
      <c r="N328" s="215">
        <f t="shared" si="552"/>
        <v>0</v>
      </c>
      <c r="O328" s="215">
        <f t="shared" si="552"/>
        <v>0</v>
      </c>
      <c r="P328" s="215">
        <f t="shared" si="552"/>
        <v>347</v>
      </c>
      <c r="Q328" s="215">
        <f t="shared" si="552"/>
        <v>347</v>
      </c>
      <c r="R328" s="215">
        <f t="shared" si="552"/>
        <v>24030</v>
      </c>
      <c r="S328" s="215">
        <f t="shared" si="552"/>
        <v>24030</v>
      </c>
      <c r="T328" s="215">
        <f t="shared" si="552"/>
        <v>0</v>
      </c>
      <c r="U328" s="215">
        <f t="shared" si="552"/>
        <v>0</v>
      </c>
      <c r="V328" s="215">
        <f t="shared" si="552"/>
        <v>6000</v>
      </c>
      <c r="W328" s="215">
        <f t="shared" si="552"/>
        <v>347</v>
      </c>
      <c r="X328" s="215">
        <f t="shared" si="552"/>
        <v>347</v>
      </c>
      <c r="Y328" s="215">
        <f t="shared" si="552"/>
        <v>0</v>
      </c>
      <c r="Z328" s="215">
        <f t="shared" si="552"/>
        <v>0</v>
      </c>
      <c r="AA328" s="215">
        <f t="shared" si="552"/>
        <v>6000</v>
      </c>
      <c r="AB328" s="215">
        <f t="shared" si="552"/>
        <v>6000</v>
      </c>
      <c r="AC328" s="215">
        <f t="shared" si="552"/>
        <v>0</v>
      </c>
      <c r="AD328" s="215">
        <f t="shared" si="552"/>
        <v>0</v>
      </c>
      <c r="AE328" s="215">
        <f t="shared" si="552"/>
        <v>1837.98</v>
      </c>
      <c r="AF328" s="215">
        <f t="shared" si="552"/>
        <v>1837.98</v>
      </c>
      <c r="AG328" s="215">
        <f t="shared" si="552"/>
        <v>6347</v>
      </c>
      <c r="AH328" s="215">
        <f t="shared" si="552"/>
        <v>6347</v>
      </c>
      <c r="AI328" s="215"/>
      <c r="AJ328" s="215"/>
      <c r="AK328" s="215">
        <f t="shared" si="552"/>
        <v>7910</v>
      </c>
      <c r="AL328" s="215">
        <f t="shared" si="552"/>
        <v>7910</v>
      </c>
      <c r="AM328" s="215">
        <f t="shared" si="552"/>
        <v>0</v>
      </c>
      <c r="AN328" s="215">
        <f t="shared" si="552"/>
        <v>0</v>
      </c>
      <c r="AO328" s="215">
        <f t="shared" si="552"/>
        <v>7910</v>
      </c>
      <c r="AP328" s="215">
        <f t="shared" si="552"/>
        <v>7910</v>
      </c>
      <c r="AQ328" s="215">
        <f t="shared" si="552"/>
        <v>0</v>
      </c>
      <c r="AR328" s="215">
        <f t="shared" si="552"/>
        <v>0</v>
      </c>
      <c r="AS328" s="215">
        <f t="shared" si="552"/>
        <v>13910</v>
      </c>
      <c r="AT328" s="215">
        <f t="shared" si="552"/>
        <v>14257</v>
      </c>
      <c r="AU328" s="215">
        <f t="shared" si="552"/>
        <v>14257</v>
      </c>
      <c r="AV328" s="215">
        <f t="shared" si="552"/>
        <v>9010</v>
      </c>
      <c r="AW328" s="215">
        <f t="shared" si="552"/>
        <v>9010</v>
      </c>
      <c r="AX328" s="215"/>
      <c r="AY328" s="215"/>
      <c r="AZ328" s="229"/>
      <c r="BA328" s="232"/>
    </row>
    <row r="329" spans="1:53" s="257" customFormat="1" ht="25.5" customHeight="1">
      <c r="A329" s="275"/>
      <c r="B329" s="236" t="s">
        <v>45</v>
      </c>
      <c r="C329" s="255"/>
      <c r="D329" s="255"/>
      <c r="E329" s="255"/>
      <c r="F329" s="255"/>
      <c r="G329" s="255"/>
      <c r="H329" s="255"/>
      <c r="I329" s="256"/>
      <c r="J329" s="277">
        <f t="shared" ref="J329:Z329" si="553">J330</f>
        <v>26700</v>
      </c>
      <c r="K329" s="277">
        <f t="shared" si="553"/>
        <v>26700</v>
      </c>
      <c r="L329" s="277">
        <f t="shared" si="553"/>
        <v>0</v>
      </c>
      <c r="M329" s="277">
        <f t="shared" si="553"/>
        <v>0</v>
      </c>
      <c r="N329" s="277">
        <f t="shared" si="553"/>
        <v>0</v>
      </c>
      <c r="O329" s="277">
        <f t="shared" si="553"/>
        <v>0</v>
      </c>
      <c r="P329" s="277">
        <f t="shared" si="553"/>
        <v>347</v>
      </c>
      <c r="Q329" s="277">
        <f t="shared" si="553"/>
        <v>347</v>
      </c>
      <c r="R329" s="277">
        <f t="shared" si="553"/>
        <v>24030</v>
      </c>
      <c r="S329" s="277">
        <f t="shared" si="553"/>
        <v>24030</v>
      </c>
      <c r="T329" s="277">
        <f t="shared" si="553"/>
        <v>0</v>
      </c>
      <c r="U329" s="277">
        <f t="shared" si="553"/>
        <v>0</v>
      </c>
      <c r="V329" s="277">
        <f t="shared" si="553"/>
        <v>6000</v>
      </c>
      <c r="W329" s="277">
        <f t="shared" si="553"/>
        <v>347</v>
      </c>
      <c r="X329" s="277">
        <f t="shared" si="553"/>
        <v>347</v>
      </c>
      <c r="Y329" s="277">
        <f t="shared" si="553"/>
        <v>0</v>
      </c>
      <c r="Z329" s="277">
        <f t="shared" si="553"/>
        <v>0</v>
      </c>
      <c r="AA329" s="277">
        <f>AA330</f>
        <v>6000</v>
      </c>
      <c r="AB329" s="277">
        <f>AB330</f>
        <v>6000</v>
      </c>
      <c r="AC329" s="277"/>
      <c r="AD329" s="277"/>
      <c r="AE329" s="277">
        <f t="shared" ref="AE329:AW329" si="554">AE330</f>
        <v>1837.98</v>
      </c>
      <c r="AF329" s="277">
        <f t="shared" si="554"/>
        <v>1837.98</v>
      </c>
      <c r="AG329" s="215">
        <f t="shared" si="496"/>
        <v>6347</v>
      </c>
      <c r="AH329" s="215">
        <f t="shared" si="497"/>
        <v>6347</v>
      </c>
      <c r="AI329" s="215"/>
      <c r="AJ329" s="215"/>
      <c r="AK329" s="215">
        <f t="shared" si="515"/>
        <v>7910</v>
      </c>
      <c r="AL329" s="215">
        <f t="shared" si="516"/>
        <v>7910</v>
      </c>
      <c r="AM329" s="215">
        <f t="shared" si="517"/>
        <v>0</v>
      </c>
      <c r="AN329" s="215">
        <f t="shared" si="518"/>
        <v>0</v>
      </c>
      <c r="AO329" s="277">
        <f t="shared" si="554"/>
        <v>7910</v>
      </c>
      <c r="AP329" s="277">
        <f t="shared" si="554"/>
        <v>7910</v>
      </c>
      <c r="AQ329" s="277">
        <f t="shared" si="554"/>
        <v>0</v>
      </c>
      <c r="AR329" s="277">
        <f t="shared" si="554"/>
        <v>0</v>
      </c>
      <c r="AS329" s="277">
        <f t="shared" si="554"/>
        <v>13910</v>
      </c>
      <c r="AT329" s="277">
        <f t="shared" si="554"/>
        <v>14257</v>
      </c>
      <c r="AU329" s="277">
        <f t="shared" si="554"/>
        <v>14257</v>
      </c>
      <c r="AV329" s="277">
        <f t="shared" si="554"/>
        <v>9010</v>
      </c>
      <c r="AW329" s="277">
        <f t="shared" si="554"/>
        <v>9010</v>
      </c>
      <c r="AX329" s="277"/>
      <c r="AY329" s="277"/>
      <c r="AZ329" s="255"/>
      <c r="BA329" s="533"/>
    </row>
    <row r="330" spans="1:53" s="270" customFormat="1" ht="39" customHeight="1">
      <c r="A330" s="258">
        <v>1</v>
      </c>
      <c r="B330" s="259" t="s">
        <v>562</v>
      </c>
      <c r="C330" s="243" t="s">
        <v>544</v>
      </c>
      <c r="D330" s="243"/>
      <c r="E330" s="243" t="s">
        <v>1047</v>
      </c>
      <c r="F330" s="243"/>
      <c r="G330" s="303" t="s">
        <v>293</v>
      </c>
      <c r="H330" s="272"/>
      <c r="I330" s="248" t="s">
        <v>563</v>
      </c>
      <c r="J330" s="212">
        <v>26700</v>
      </c>
      <c r="K330" s="212">
        <v>26700</v>
      </c>
      <c r="L330" s="212"/>
      <c r="M330" s="212"/>
      <c r="N330" s="212"/>
      <c r="O330" s="212"/>
      <c r="P330" s="212">
        <f>L330+W330</f>
        <v>347</v>
      </c>
      <c r="Q330" s="212">
        <f>M330+X330</f>
        <v>347</v>
      </c>
      <c r="R330" s="212">
        <v>24030</v>
      </c>
      <c r="S330" s="212">
        <v>24030</v>
      </c>
      <c r="T330" s="212">
        <v>0</v>
      </c>
      <c r="U330" s="212"/>
      <c r="V330" s="212">
        <v>6000</v>
      </c>
      <c r="W330" s="212">
        <v>347</v>
      </c>
      <c r="X330" s="212">
        <v>347</v>
      </c>
      <c r="Y330" s="212"/>
      <c r="Z330" s="212"/>
      <c r="AA330" s="212">
        <v>6000</v>
      </c>
      <c r="AB330" s="212">
        <v>6000</v>
      </c>
      <c r="AC330" s="212"/>
      <c r="AD330" s="212"/>
      <c r="AE330" s="566">
        <v>1837.98</v>
      </c>
      <c r="AF330" s="566">
        <v>1837.98</v>
      </c>
      <c r="AG330" s="212">
        <f t="shared" si="496"/>
        <v>6347</v>
      </c>
      <c r="AH330" s="212">
        <f t="shared" si="497"/>
        <v>6347</v>
      </c>
      <c r="AI330" s="212"/>
      <c r="AJ330" s="212"/>
      <c r="AK330" s="212">
        <f t="shared" si="515"/>
        <v>7910</v>
      </c>
      <c r="AL330" s="212">
        <f t="shared" si="516"/>
        <v>7910</v>
      </c>
      <c r="AM330" s="212">
        <f t="shared" si="517"/>
        <v>0</v>
      </c>
      <c r="AN330" s="212">
        <f t="shared" si="518"/>
        <v>0</v>
      </c>
      <c r="AO330" s="212">
        <f>AP330</f>
        <v>7910</v>
      </c>
      <c r="AP330" s="212">
        <v>7910</v>
      </c>
      <c r="AQ330" s="212"/>
      <c r="AR330" s="212"/>
      <c r="AS330" s="212">
        <f t="shared" ref="AS330" si="555">V330+AP330</f>
        <v>13910</v>
      </c>
      <c r="AT330" s="212">
        <f t="shared" ref="AT330" si="556">AU330</f>
        <v>14257</v>
      </c>
      <c r="AU330" s="212">
        <f t="shared" ref="AU330" si="557">AH330+AP330</f>
        <v>14257</v>
      </c>
      <c r="AV330" s="212">
        <f t="shared" ref="AV330" si="558">AW330</f>
        <v>9010</v>
      </c>
      <c r="AW330" s="212">
        <v>9010</v>
      </c>
      <c r="AX330" s="212"/>
      <c r="AY330" s="212"/>
      <c r="AZ330" s="243"/>
      <c r="BA330" s="279"/>
    </row>
    <row r="331" spans="1:53" s="251" customFormat="1" ht="33.6" customHeight="1">
      <c r="A331" s="252"/>
      <c r="B331" s="253" t="s">
        <v>327</v>
      </c>
      <c r="C331" s="264"/>
      <c r="D331" s="264"/>
      <c r="E331" s="264"/>
      <c r="F331" s="264"/>
      <c r="G331" s="229"/>
      <c r="H331" s="229"/>
      <c r="I331" s="231"/>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c r="AH331" s="215"/>
      <c r="AI331" s="215"/>
      <c r="AJ331" s="215"/>
      <c r="AK331" s="215"/>
      <c r="AL331" s="215"/>
      <c r="AM331" s="215"/>
      <c r="AN331" s="215"/>
      <c r="AO331" s="215"/>
      <c r="AP331" s="215">
        <v>14205</v>
      </c>
      <c r="AQ331" s="215">
        <f>AP331-AP332</f>
        <v>14205</v>
      </c>
      <c r="AR331" s="215"/>
      <c r="AS331" s="215"/>
      <c r="AT331" s="215"/>
      <c r="AU331" s="215"/>
      <c r="AV331" s="215"/>
      <c r="AW331" s="215">
        <v>19071</v>
      </c>
      <c r="AX331" s="215"/>
      <c r="AY331" s="215"/>
      <c r="AZ331" s="229"/>
      <c r="BA331" s="232"/>
    </row>
    <row r="332" spans="1:53" s="251" customFormat="1" ht="38.25" customHeight="1">
      <c r="A332" s="252" t="s">
        <v>564</v>
      </c>
      <c r="B332" s="316" t="s">
        <v>565</v>
      </c>
      <c r="C332" s="229"/>
      <c r="D332" s="229"/>
      <c r="E332" s="229"/>
      <c r="F332" s="229"/>
      <c r="G332" s="235"/>
      <c r="H332" s="229"/>
      <c r="I332" s="231"/>
      <c r="J332" s="215">
        <f t="shared" ref="J332:Q332" si="559">J335+J340</f>
        <v>11800</v>
      </c>
      <c r="K332" s="215">
        <f t="shared" si="559"/>
        <v>11800</v>
      </c>
      <c r="L332" s="215">
        <f t="shared" si="559"/>
        <v>0</v>
      </c>
      <c r="M332" s="215">
        <f t="shared" si="559"/>
        <v>0</v>
      </c>
      <c r="N332" s="215">
        <f t="shared" si="559"/>
        <v>0</v>
      </c>
      <c r="O332" s="215">
        <f t="shared" si="559"/>
        <v>0</v>
      </c>
      <c r="P332" s="215">
        <f t="shared" si="559"/>
        <v>0</v>
      </c>
      <c r="Q332" s="215">
        <f t="shared" si="559"/>
        <v>0</v>
      </c>
      <c r="R332" s="215">
        <f>R335+R340+R348</f>
        <v>42032</v>
      </c>
      <c r="S332" s="215">
        <f t="shared" ref="S332:AY332" si="560">S335+S340+S348</f>
        <v>42032</v>
      </c>
      <c r="T332" s="215">
        <f t="shared" si="560"/>
        <v>0</v>
      </c>
      <c r="U332" s="215">
        <f t="shared" si="560"/>
        <v>0</v>
      </c>
      <c r="V332" s="215">
        <f t="shared" si="560"/>
        <v>0</v>
      </c>
      <c r="W332" s="215">
        <f t="shared" si="560"/>
        <v>0</v>
      </c>
      <c r="X332" s="215">
        <f t="shared" si="560"/>
        <v>0</v>
      </c>
      <c r="Y332" s="215">
        <f t="shared" si="560"/>
        <v>0</v>
      </c>
      <c r="Z332" s="215">
        <f t="shared" si="560"/>
        <v>0</v>
      </c>
      <c r="AA332" s="215">
        <f t="shared" si="560"/>
        <v>0</v>
      </c>
      <c r="AB332" s="215">
        <f t="shared" si="560"/>
        <v>0</v>
      </c>
      <c r="AC332" s="215">
        <f t="shared" si="560"/>
        <v>0</v>
      </c>
      <c r="AD332" s="215">
        <f t="shared" si="560"/>
        <v>0</v>
      </c>
      <c r="AE332" s="215">
        <f t="shared" si="560"/>
        <v>0</v>
      </c>
      <c r="AF332" s="215">
        <f t="shared" si="560"/>
        <v>0</v>
      </c>
      <c r="AG332" s="215">
        <f t="shared" si="560"/>
        <v>0</v>
      </c>
      <c r="AH332" s="215">
        <f t="shared" si="560"/>
        <v>0</v>
      </c>
      <c r="AI332" s="215">
        <f t="shared" si="560"/>
        <v>0</v>
      </c>
      <c r="AJ332" s="215">
        <f t="shared" si="560"/>
        <v>0</v>
      </c>
      <c r="AK332" s="215">
        <f t="shared" si="560"/>
        <v>0</v>
      </c>
      <c r="AL332" s="215">
        <f t="shared" si="560"/>
        <v>0</v>
      </c>
      <c r="AM332" s="215">
        <f t="shared" si="560"/>
        <v>0</v>
      </c>
      <c r="AN332" s="215">
        <f t="shared" si="560"/>
        <v>0</v>
      </c>
      <c r="AO332" s="215">
        <f t="shared" si="560"/>
        <v>0</v>
      </c>
      <c r="AP332" s="215">
        <f t="shared" si="560"/>
        <v>0</v>
      </c>
      <c r="AQ332" s="215">
        <f t="shared" si="560"/>
        <v>0</v>
      </c>
      <c r="AR332" s="215">
        <f t="shared" si="560"/>
        <v>0</v>
      </c>
      <c r="AS332" s="215">
        <f t="shared" si="560"/>
        <v>0</v>
      </c>
      <c r="AT332" s="215">
        <f t="shared" si="560"/>
        <v>4700</v>
      </c>
      <c r="AU332" s="215">
        <f t="shared" si="560"/>
        <v>4700</v>
      </c>
      <c r="AV332" s="215">
        <f t="shared" si="560"/>
        <v>19071</v>
      </c>
      <c r="AW332" s="215">
        <f>AW335+AW340+AW348</f>
        <v>19071</v>
      </c>
      <c r="AX332" s="215">
        <f t="shared" si="560"/>
        <v>0</v>
      </c>
      <c r="AY332" s="215">
        <f t="shared" si="560"/>
        <v>0</v>
      </c>
      <c r="AZ332" s="213"/>
      <c r="BA332" s="232"/>
    </row>
    <row r="333" spans="1:53" s="257" customFormat="1" ht="14.1" hidden="1" customHeight="1">
      <c r="A333" s="237" t="s">
        <v>301</v>
      </c>
      <c r="B333" s="234" t="s">
        <v>323</v>
      </c>
      <c r="C333" s="255"/>
      <c r="D333" s="255"/>
      <c r="E333" s="255"/>
      <c r="F333" s="255"/>
      <c r="G333" s="255" t="e">
        <f>#REF!</f>
        <v>#REF!</v>
      </c>
      <c r="H333" s="255"/>
      <c r="I333" s="256"/>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f t="shared" ref="AV333:AV347" si="561">AW333</f>
        <v>0</v>
      </c>
      <c r="AW333" s="215"/>
      <c r="AX333" s="215"/>
      <c r="AY333" s="215"/>
      <c r="AZ333" s="255" t="s">
        <v>311</v>
      </c>
      <c r="BA333" s="533"/>
    </row>
    <row r="334" spans="1:53" s="262" customFormat="1" ht="14.1" hidden="1" customHeight="1">
      <c r="A334" s="268">
        <v>1</v>
      </c>
      <c r="B334" s="269" t="s">
        <v>561</v>
      </c>
      <c r="C334" s="209"/>
      <c r="D334" s="209"/>
      <c r="E334" s="209"/>
      <c r="F334" s="209"/>
      <c r="G334" s="209"/>
      <c r="H334" s="209"/>
      <c r="I334" s="211"/>
      <c r="J334" s="212"/>
      <c r="K334" s="212"/>
      <c r="L334" s="212"/>
      <c r="M334" s="212"/>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212"/>
      <c r="AL334" s="212"/>
      <c r="AM334" s="212"/>
      <c r="AN334" s="212"/>
      <c r="AO334" s="212"/>
      <c r="AP334" s="212"/>
      <c r="AQ334" s="212"/>
      <c r="AR334" s="212"/>
      <c r="AS334" s="212"/>
      <c r="AT334" s="212"/>
      <c r="AU334" s="212"/>
      <c r="AV334" s="212">
        <f t="shared" si="561"/>
        <v>0</v>
      </c>
      <c r="AW334" s="212"/>
      <c r="AX334" s="212"/>
      <c r="AY334" s="212"/>
      <c r="AZ334" s="243"/>
      <c r="BA334" s="201"/>
    </row>
    <row r="335" spans="1:53" s="251" customFormat="1" ht="33" customHeight="1">
      <c r="A335" s="227" t="s">
        <v>33</v>
      </c>
      <c r="B335" s="234" t="s">
        <v>897</v>
      </c>
      <c r="C335" s="213"/>
      <c r="D335" s="213"/>
      <c r="E335" s="213"/>
      <c r="F335" s="213"/>
      <c r="G335" s="213"/>
      <c r="H335" s="213"/>
      <c r="I335" s="217"/>
      <c r="J335" s="215">
        <f t="shared" ref="J335:AU335" si="562">SUM(J337:J338)</f>
        <v>11800</v>
      </c>
      <c r="K335" s="215">
        <f t="shared" si="562"/>
        <v>11800</v>
      </c>
      <c r="L335" s="215">
        <f t="shared" si="562"/>
        <v>0</v>
      </c>
      <c r="M335" s="215">
        <f t="shared" si="562"/>
        <v>0</v>
      </c>
      <c r="N335" s="215">
        <f t="shared" si="562"/>
        <v>0</v>
      </c>
      <c r="O335" s="215">
        <f t="shared" si="562"/>
        <v>0</v>
      </c>
      <c r="P335" s="215">
        <f t="shared" si="562"/>
        <v>0</v>
      </c>
      <c r="Q335" s="215">
        <f t="shared" si="562"/>
        <v>0</v>
      </c>
      <c r="R335" s="215">
        <f>S335</f>
        <v>11800</v>
      </c>
      <c r="S335" s="215">
        <f t="shared" si="562"/>
        <v>11800</v>
      </c>
      <c r="T335" s="215">
        <f t="shared" si="562"/>
        <v>0</v>
      </c>
      <c r="U335" s="215">
        <f t="shared" si="562"/>
        <v>0</v>
      </c>
      <c r="V335" s="215">
        <f t="shared" si="562"/>
        <v>0</v>
      </c>
      <c r="W335" s="215">
        <f t="shared" si="562"/>
        <v>0</v>
      </c>
      <c r="X335" s="215">
        <f t="shared" si="562"/>
        <v>0</v>
      </c>
      <c r="Y335" s="215">
        <f t="shared" si="562"/>
        <v>0</v>
      </c>
      <c r="Z335" s="215">
        <f t="shared" si="562"/>
        <v>0</v>
      </c>
      <c r="AA335" s="215">
        <f t="shared" si="562"/>
        <v>0</v>
      </c>
      <c r="AB335" s="215">
        <f t="shared" si="562"/>
        <v>0</v>
      </c>
      <c r="AC335" s="215">
        <f t="shared" si="562"/>
        <v>0</v>
      </c>
      <c r="AD335" s="215">
        <f t="shared" si="562"/>
        <v>0</v>
      </c>
      <c r="AE335" s="215">
        <f t="shared" si="562"/>
        <v>0</v>
      </c>
      <c r="AF335" s="215">
        <f t="shared" si="562"/>
        <v>0</v>
      </c>
      <c r="AG335" s="215">
        <f t="shared" si="562"/>
        <v>0</v>
      </c>
      <c r="AH335" s="215">
        <f t="shared" si="562"/>
        <v>0</v>
      </c>
      <c r="AI335" s="215">
        <f t="shared" si="562"/>
        <v>0</v>
      </c>
      <c r="AJ335" s="215">
        <f t="shared" si="562"/>
        <v>0</v>
      </c>
      <c r="AK335" s="215">
        <f t="shared" si="562"/>
        <v>0</v>
      </c>
      <c r="AL335" s="215">
        <f t="shared" si="562"/>
        <v>0</v>
      </c>
      <c r="AM335" s="215">
        <f t="shared" si="562"/>
        <v>0</v>
      </c>
      <c r="AN335" s="215">
        <f t="shared" si="562"/>
        <v>0</v>
      </c>
      <c r="AO335" s="215">
        <f t="shared" si="562"/>
        <v>0</v>
      </c>
      <c r="AP335" s="215">
        <f t="shared" si="562"/>
        <v>0</v>
      </c>
      <c r="AQ335" s="215">
        <f t="shared" si="562"/>
        <v>0</v>
      </c>
      <c r="AR335" s="215">
        <f t="shared" si="562"/>
        <v>0</v>
      </c>
      <c r="AS335" s="215">
        <f t="shared" si="562"/>
        <v>0</v>
      </c>
      <c r="AT335" s="215">
        <f t="shared" si="562"/>
        <v>4700</v>
      </c>
      <c r="AU335" s="215">
        <f t="shared" si="562"/>
        <v>4700</v>
      </c>
      <c r="AV335" s="215">
        <f t="shared" si="561"/>
        <v>6500</v>
      </c>
      <c r="AW335" s="215">
        <f>SUM(AW337:AW338)</f>
        <v>6500</v>
      </c>
      <c r="AX335" s="215"/>
      <c r="AY335" s="215"/>
      <c r="AZ335" s="229"/>
      <c r="BA335" s="232"/>
    </row>
    <row r="336" spans="1:53" s="257" customFormat="1" ht="33" customHeight="1">
      <c r="A336" s="275" t="s">
        <v>35</v>
      </c>
      <c r="B336" s="236" t="s">
        <v>45</v>
      </c>
      <c r="C336" s="278"/>
      <c r="D336" s="278"/>
      <c r="E336" s="278"/>
      <c r="F336" s="278"/>
      <c r="G336" s="278"/>
      <c r="H336" s="278"/>
      <c r="I336" s="283"/>
      <c r="J336" s="277"/>
      <c r="K336" s="277"/>
      <c r="L336" s="277"/>
      <c r="M336" s="277"/>
      <c r="N336" s="277"/>
      <c r="O336" s="277"/>
      <c r="P336" s="277"/>
      <c r="Q336" s="277"/>
      <c r="R336" s="277">
        <f t="shared" ref="R336:R347" si="563">S336</f>
        <v>0</v>
      </c>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f t="shared" si="561"/>
        <v>0</v>
      </c>
      <c r="AW336" s="277"/>
      <c r="AX336" s="277"/>
      <c r="AY336" s="277"/>
      <c r="AZ336" s="255"/>
      <c r="BA336" s="533"/>
    </row>
    <row r="337" spans="1:53" s="262" customFormat="1" ht="39.6" customHeight="1">
      <c r="A337" s="258">
        <v>1</v>
      </c>
      <c r="B337" s="600" t="s">
        <v>648</v>
      </c>
      <c r="C337" s="268"/>
      <c r="D337" s="268"/>
      <c r="E337" s="268"/>
      <c r="F337" s="268"/>
      <c r="G337" s="209"/>
      <c r="H337" s="243"/>
      <c r="I337" s="268" t="s">
        <v>911</v>
      </c>
      <c r="J337" s="590">
        <v>6800</v>
      </c>
      <c r="K337" s="590">
        <v>6800</v>
      </c>
      <c r="L337" s="590"/>
      <c r="M337" s="590"/>
      <c r="N337" s="590"/>
      <c r="O337" s="590"/>
      <c r="P337" s="590"/>
      <c r="Q337" s="590"/>
      <c r="R337" s="590">
        <f t="shared" si="563"/>
        <v>6800</v>
      </c>
      <c r="S337" s="590">
        <v>6800</v>
      </c>
      <c r="T337" s="590"/>
      <c r="U337" s="590"/>
      <c r="V337" s="590"/>
      <c r="W337" s="590"/>
      <c r="X337" s="590"/>
      <c r="Y337" s="590"/>
      <c r="Z337" s="590"/>
      <c r="AA337" s="590"/>
      <c r="AB337" s="590"/>
      <c r="AC337" s="590"/>
      <c r="AD337" s="590"/>
      <c r="AE337" s="590"/>
      <c r="AF337" s="590"/>
      <c r="AG337" s="590"/>
      <c r="AH337" s="590"/>
      <c r="AI337" s="590"/>
      <c r="AJ337" s="590"/>
      <c r="AK337" s="590"/>
      <c r="AL337" s="590"/>
      <c r="AM337" s="590"/>
      <c r="AN337" s="590"/>
      <c r="AO337" s="590"/>
      <c r="AP337" s="590"/>
      <c r="AQ337" s="590"/>
      <c r="AR337" s="590"/>
      <c r="AS337" s="590"/>
      <c r="AT337" s="590">
        <f>AU337</f>
        <v>3000</v>
      </c>
      <c r="AU337" s="590">
        <v>3000</v>
      </c>
      <c r="AV337" s="590">
        <f t="shared" si="561"/>
        <v>3500</v>
      </c>
      <c r="AW337" s="590">
        <v>3500</v>
      </c>
      <c r="AX337" s="590"/>
      <c r="AY337" s="212"/>
      <c r="AZ337" s="261"/>
      <c r="BA337" s="201"/>
    </row>
    <row r="338" spans="1:53" s="262" customFormat="1" ht="33.950000000000003" customHeight="1">
      <c r="A338" s="258">
        <v>2</v>
      </c>
      <c r="B338" s="600" t="s">
        <v>912</v>
      </c>
      <c r="C338" s="268"/>
      <c r="D338" s="268"/>
      <c r="E338" s="268"/>
      <c r="F338" s="268"/>
      <c r="G338" s="209"/>
      <c r="H338" s="243"/>
      <c r="I338" s="268" t="s">
        <v>911</v>
      </c>
      <c r="J338" s="590">
        <v>5000</v>
      </c>
      <c r="K338" s="590">
        <v>5000</v>
      </c>
      <c r="L338" s="590"/>
      <c r="M338" s="590"/>
      <c r="N338" s="590"/>
      <c r="O338" s="590"/>
      <c r="P338" s="590"/>
      <c r="Q338" s="590"/>
      <c r="R338" s="590">
        <f t="shared" si="563"/>
        <v>5000</v>
      </c>
      <c r="S338" s="590">
        <v>5000</v>
      </c>
      <c r="T338" s="590"/>
      <c r="U338" s="590"/>
      <c r="V338" s="590"/>
      <c r="W338" s="590"/>
      <c r="X338" s="590"/>
      <c r="Y338" s="590"/>
      <c r="Z338" s="590"/>
      <c r="AA338" s="590"/>
      <c r="AB338" s="590"/>
      <c r="AC338" s="590"/>
      <c r="AD338" s="590"/>
      <c r="AE338" s="590"/>
      <c r="AF338" s="590"/>
      <c r="AG338" s="590"/>
      <c r="AH338" s="590"/>
      <c r="AI338" s="590"/>
      <c r="AJ338" s="590"/>
      <c r="AK338" s="590"/>
      <c r="AL338" s="590"/>
      <c r="AM338" s="590"/>
      <c r="AN338" s="590"/>
      <c r="AO338" s="590"/>
      <c r="AP338" s="590"/>
      <c r="AQ338" s="590"/>
      <c r="AR338" s="590"/>
      <c r="AS338" s="590"/>
      <c r="AT338" s="590">
        <f>AU338</f>
        <v>1700</v>
      </c>
      <c r="AU338" s="590">
        <v>1700</v>
      </c>
      <c r="AV338" s="590">
        <f t="shared" si="561"/>
        <v>3000</v>
      </c>
      <c r="AW338" s="590">
        <v>3000</v>
      </c>
      <c r="AX338" s="590"/>
      <c r="AY338" s="212"/>
      <c r="AZ338" s="261"/>
      <c r="BA338" s="201"/>
    </row>
    <row r="339" spans="1:53" s="262" customFormat="1" ht="27.95" hidden="1" customHeight="1">
      <c r="A339" s="258">
        <v>4</v>
      </c>
      <c r="B339" s="290" t="s">
        <v>568</v>
      </c>
      <c r="C339" s="209" t="s">
        <v>566</v>
      </c>
      <c r="D339" s="209"/>
      <c r="E339" s="209"/>
      <c r="F339" s="209"/>
      <c r="G339" s="209"/>
      <c r="H339" s="243"/>
      <c r="I339" s="211"/>
      <c r="J339" s="273"/>
      <c r="K339" s="273"/>
      <c r="L339" s="273"/>
      <c r="M339" s="273"/>
      <c r="N339" s="273"/>
      <c r="O339" s="273"/>
      <c r="P339" s="273"/>
      <c r="Q339" s="273"/>
      <c r="R339" s="273">
        <f t="shared" si="563"/>
        <v>0</v>
      </c>
      <c r="S339" s="273"/>
      <c r="T339" s="273"/>
      <c r="U339" s="273"/>
      <c r="V339" s="273"/>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f t="shared" si="561"/>
        <v>0</v>
      </c>
      <c r="AW339" s="273"/>
      <c r="AX339" s="273"/>
      <c r="AY339" s="212"/>
      <c r="AZ339" s="261" t="s">
        <v>330</v>
      </c>
      <c r="BA339" s="201"/>
    </row>
    <row r="340" spans="1:53" s="251" customFormat="1" ht="36.75" customHeight="1">
      <c r="A340" s="227" t="s">
        <v>46</v>
      </c>
      <c r="B340" s="234" t="s">
        <v>896</v>
      </c>
      <c r="C340" s="213"/>
      <c r="D340" s="213"/>
      <c r="E340" s="213"/>
      <c r="F340" s="213"/>
      <c r="G340" s="213"/>
      <c r="H340" s="229"/>
      <c r="I340" s="217"/>
      <c r="J340" s="242"/>
      <c r="K340" s="242"/>
      <c r="L340" s="242"/>
      <c r="M340" s="242"/>
      <c r="N340" s="242"/>
      <c r="O340" s="242"/>
      <c r="P340" s="242"/>
      <c r="Q340" s="242"/>
      <c r="R340" s="242">
        <f t="shared" si="563"/>
        <v>19123</v>
      </c>
      <c r="S340" s="242">
        <f>SUM(S341:S347)</f>
        <v>19123</v>
      </c>
      <c r="T340" s="242"/>
      <c r="U340" s="242"/>
      <c r="V340" s="242"/>
      <c r="W340" s="242"/>
      <c r="X340" s="242"/>
      <c r="Y340" s="242"/>
      <c r="Z340" s="242"/>
      <c r="AA340" s="242"/>
      <c r="AB340" s="242"/>
      <c r="AC340" s="242"/>
      <c r="AD340" s="242"/>
      <c r="AE340" s="242"/>
      <c r="AF340" s="242"/>
      <c r="AG340" s="242"/>
      <c r="AH340" s="242"/>
      <c r="AI340" s="242"/>
      <c r="AJ340" s="242"/>
      <c r="AK340" s="242"/>
      <c r="AL340" s="242"/>
      <c r="AM340" s="242"/>
      <c r="AN340" s="242"/>
      <c r="AO340" s="242"/>
      <c r="AP340" s="242"/>
      <c r="AQ340" s="242"/>
      <c r="AR340" s="242"/>
      <c r="AS340" s="242"/>
      <c r="AT340" s="242"/>
      <c r="AU340" s="242"/>
      <c r="AV340" s="242">
        <f t="shared" si="561"/>
        <v>11971</v>
      </c>
      <c r="AW340" s="242">
        <f>SUM(AW341:AW347)</f>
        <v>11971</v>
      </c>
      <c r="AX340" s="242"/>
      <c r="AY340" s="242"/>
      <c r="AZ340" s="265"/>
      <c r="BA340" s="232"/>
    </row>
    <row r="341" spans="1:53" s="251" customFormat="1" ht="36.75" customHeight="1">
      <c r="A341" s="275" t="s">
        <v>35</v>
      </c>
      <c r="B341" s="236" t="s">
        <v>45</v>
      </c>
      <c r="C341" s="213"/>
      <c r="D341" s="213"/>
      <c r="E341" s="213"/>
      <c r="F341" s="213"/>
      <c r="G341" s="213"/>
      <c r="H341" s="229"/>
      <c r="I341" s="217"/>
      <c r="J341" s="242"/>
      <c r="K341" s="242"/>
      <c r="L341" s="242"/>
      <c r="M341" s="242"/>
      <c r="N341" s="242"/>
      <c r="O341" s="242"/>
      <c r="P341" s="242"/>
      <c r="Q341" s="242"/>
      <c r="R341" s="242">
        <f t="shared" si="563"/>
        <v>0</v>
      </c>
      <c r="S341" s="242"/>
      <c r="T341" s="242"/>
      <c r="U341" s="242"/>
      <c r="V341" s="242"/>
      <c r="W341" s="242"/>
      <c r="X341" s="242"/>
      <c r="Y341" s="242"/>
      <c r="Z341" s="242"/>
      <c r="AA341" s="242"/>
      <c r="AB341" s="242"/>
      <c r="AC341" s="242"/>
      <c r="AD341" s="242"/>
      <c r="AE341" s="242"/>
      <c r="AF341" s="242"/>
      <c r="AG341" s="242"/>
      <c r="AH341" s="242"/>
      <c r="AI341" s="242"/>
      <c r="AJ341" s="242"/>
      <c r="AK341" s="242"/>
      <c r="AL341" s="242"/>
      <c r="AM341" s="242"/>
      <c r="AN341" s="242"/>
      <c r="AO341" s="242"/>
      <c r="AP341" s="242"/>
      <c r="AQ341" s="242"/>
      <c r="AR341" s="242"/>
      <c r="AS341" s="242"/>
      <c r="AT341" s="242"/>
      <c r="AU341" s="242"/>
      <c r="AV341" s="242">
        <f t="shared" si="561"/>
        <v>0</v>
      </c>
      <c r="AW341" s="242"/>
      <c r="AX341" s="242"/>
      <c r="AY341" s="242"/>
      <c r="AZ341" s="265"/>
      <c r="BA341" s="232"/>
    </row>
    <row r="342" spans="1:53" s="262" customFormat="1" ht="36.75" customHeight="1">
      <c r="A342" s="323" t="s">
        <v>37</v>
      </c>
      <c r="B342" s="318" t="s">
        <v>913</v>
      </c>
      <c r="C342" s="209"/>
      <c r="D342" s="209"/>
      <c r="E342" s="209"/>
      <c r="F342" s="209"/>
      <c r="G342" s="209"/>
      <c r="H342" s="243"/>
      <c r="I342" s="211"/>
      <c r="J342" s="273"/>
      <c r="K342" s="273"/>
      <c r="L342" s="273"/>
      <c r="M342" s="273"/>
      <c r="N342" s="273"/>
      <c r="O342" s="273"/>
      <c r="P342" s="273"/>
      <c r="Q342" s="273"/>
      <c r="R342" s="273">
        <f t="shared" si="563"/>
        <v>2000</v>
      </c>
      <c r="S342" s="273">
        <v>2000</v>
      </c>
      <c r="T342" s="273"/>
      <c r="U342" s="273"/>
      <c r="V342" s="273"/>
      <c r="W342" s="273"/>
      <c r="X342" s="273"/>
      <c r="Y342" s="273"/>
      <c r="Z342" s="273"/>
      <c r="AA342" s="273"/>
      <c r="AB342" s="273"/>
      <c r="AC342" s="273"/>
      <c r="AD342" s="273"/>
      <c r="AE342" s="273"/>
      <c r="AF342" s="273"/>
      <c r="AG342" s="273"/>
      <c r="AH342" s="273"/>
      <c r="AI342" s="273"/>
      <c r="AJ342" s="273"/>
      <c r="AK342" s="273"/>
      <c r="AL342" s="273"/>
      <c r="AM342" s="273"/>
      <c r="AN342" s="273"/>
      <c r="AO342" s="273"/>
      <c r="AP342" s="273"/>
      <c r="AQ342" s="273"/>
      <c r="AR342" s="273"/>
      <c r="AS342" s="273"/>
      <c r="AT342" s="273"/>
      <c r="AU342" s="273"/>
      <c r="AV342" s="273">
        <f t="shared" si="561"/>
        <v>1200</v>
      </c>
      <c r="AW342" s="273">
        <v>1200</v>
      </c>
      <c r="AX342" s="273"/>
      <c r="AY342" s="273"/>
      <c r="AZ342" s="261"/>
      <c r="BA342" s="201"/>
    </row>
    <row r="343" spans="1:53" s="262" customFormat="1" ht="36.75" customHeight="1">
      <c r="A343" s="323" t="s">
        <v>39</v>
      </c>
      <c r="B343" s="318" t="s">
        <v>914</v>
      </c>
      <c r="C343" s="209"/>
      <c r="D343" s="209"/>
      <c r="E343" s="209"/>
      <c r="F343" s="209"/>
      <c r="G343" s="209"/>
      <c r="H343" s="243"/>
      <c r="I343" s="211"/>
      <c r="J343" s="273"/>
      <c r="K343" s="273"/>
      <c r="L343" s="273"/>
      <c r="M343" s="273"/>
      <c r="N343" s="273"/>
      <c r="O343" s="273"/>
      <c r="P343" s="273"/>
      <c r="Q343" s="273"/>
      <c r="R343" s="273">
        <f t="shared" si="563"/>
        <v>3360</v>
      </c>
      <c r="S343" s="273">
        <v>3360</v>
      </c>
      <c r="T343" s="273"/>
      <c r="U343" s="273"/>
      <c r="V343" s="273"/>
      <c r="W343" s="273"/>
      <c r="X343" s="273"/>
      <c r="Y343" s="273"/>
      <c r="Z343" s="273"/>
      <c r="AA343" s="273"/>
      <c r="AB343" s="273"/>
      <c r="AC343" s="273"/>
      <c r="AD343" s="273"/>
      <c r="AE343" s="273"/>
      <c r="AF343" s="273"/>
      <c r="AG343" s="273"/>
      <c r="AH343" s="273"/>
      <c r="AI343" s="273"/>
      <c r="AJ343" s="273"/>
      <c r="AK343" s="273"/>
      <c r="AL343" s="273"/>
      <c r="AM343" s="273"/>
      <c r="AN343" s="273"/>
      <c r="AO343" s="273"/>
      <c r="AP343" s="273"/>
      <c r="AQ343" s="273"/>
      <c r="AR343" s="273"/>
      <c r="AS343" s="273"/>
      <c r="AT343" s="273"/>
      <c r="AU343" s="273"/>
      <c r="AV343" s="273">
        <f t="shared" si="561"/>
        <v>2015</v>
      </c>
      <c r="AW343" s="273">
        <v>2015</v>
      </c>
      <c r="AX343" s="273"/>
      <c r="AY343" s="273"/>
      <c r="AZ343" s="261"/>
      <c r="BA343" s="201"/>
    </row>
    <row r="344" spans="1:53" s="262" customFormat="1" ht="36.75" customHeight="1">
      <c r="A344" s="323" t="s">
        <v>77</v>
      </c>
      <c r="B344" s="318" t="s">
        <v>915</v>
      </c>
      <c r="C344" s="209"/>
      <c r="D344" s="209"/>
      <c r="E344" s="209"/>
      <c r="F344" s="209"/>
      <c r="G344" s="209"/>
      <c r="H344" s="243"/>
      <c r="I344" s="211"/>
      <c r="J344" s="273"/>
      <c r="K344" s="273"/>
      <c r="L344" s="273"/>
      <c r="M344" s="273"/>
      <c r="N344" s="273"/>
      <c r="O344" s="273"/>
      <c r="P344" s="273"/>
      <c r="Q344" s="273"/>
      <c r="R344" s="273">
        <f t="shared" si="563"/>
        <v>6399</v>
      </c>
      <c r="S344" s="273">
        <v>6399</v>
      </c>
      <c r="T344" s="273"/>
      <c r="U344" s="273"/>
      <c r="V344" s="273"/>
      <c r="W344" s="273"/>
      <c r="X344" s="273"/>
      <c r="Y344" s="273"/>
      <c r="Z344" s="273"/>
      <c r="AA344" s="273"/>
      <c r="AB344" s="273"/>
      <c r="AC344" s="273"/>
      <c r="AD344" s="273"/>
      <c r="AE344" s="273"/>
      <c r="AF344" s="273"/>
      <c r="AG344" s="273"/>
      <c r="AH344" s="273"/>
      <c r="AI344" s="273"/>
      <c r="AJ344" s="273"/>
      <c r="AK344" s="273"/>
      <c r="AL344" s="273"/>
      <c r="AM344" s="273"/>
      <c r="AN344" s="273"/>
      <c r="AO344" s="273"/>
      <c r="AP344" s="273"/>
      <c r="AQ344" s="273"/>
      <c r="AR344" s="273"/>
      <c r="AS344" s="273"/>
      <c r="AT344" s="273"/>
      <c r="AU344" s="273"/>
      <c r="AV344" s="273">
        <f t="shared" si="561"/>
        <v>3820</v>
      </c>
      <c r="AW344" s="273">
        <v>3820</v>
      </c>
      <c r="AX344" s="273"/>
      <c r="AY344" s="273"/>
      <c r="AZ344" s="261"/>
      <c r="BA344" s="201"/>
    </row>
    <row r="345" spans="1:53" s="262" customFormat="1" ht="36.75" customHeight="1">
      <c r="A345" s="323" t="s">
        <v>79</v>
      </c>
      <c r="B345" s="318" t="s">
        <v>916</v>
      </c>
      <c r="C345" s="209"/>
      <c r="D345" s="209"/>
      <c r="E345" s="209"/>
      <c r="F345" s="209"/>
      <c r="G345" s="209"/>
      <c r="H345" s="243"/>
      <c r="I345" s="211"/>
      <c r="J345" s="273"/>
      <c r="K345" s="273"/>
      <c r="L345" s="273"/>
      <c r="M345" s="273"/>
      <c r="N345" s="273"/>
      <c r="O345" s="273"/>
      <c r="P345" s="273"/>
      <c r="Q345" s="273"/>
      <c r="R345" s="273">
        <f t="shared" si="563"/>
        <v>3410</v>
      </c>
      <c r="S345" s="273">
        <v>3410</v>
      </c>
      <c r="T345" s="273"/>
      <c r="U345" s="273"/>
      <c r="V345" s="273"/>
      <c r="W345" s="273"/>
      <c r="X345" s="273"/>
      <c r="Y345" s="273"/>
      <c r="Z345" s="273"/>
      <c r="AA345" s="273"/>
      <c r="AB345" s="273"/>
      <c r="AC345" s="273"/>
      <c r="AD345" s="273"/>
      <c r="AE345" s="273"/>
      <c r="AF345" s="273"/>
      <c r="AG345" s="273"/>
      <c r="AH345" s="273"/>
      <c r="AI345" s="273"/>
      <c r="AJ345" s="273"/>
      <c r="AK345" s="273"/>
      <c r="AL345" s="273"/>
      <c r="AM345" s="273"/>
      <c r="AN345" s="273"/>
      <c r="AO345" s="273"/>
      <c r="AP345" s="273"/>
      <c r="AQ345" s="273"/>
      <c r="AR345" s="273"/>
      <c r="AS345" s="273"/>
      <c r="AT345" s="273"/>
      <c r="AU345" s="273"/>
      <c r="AV345" s="273">
        <f t="shared" si="561"/>
        <v>2000</v>
      </c>
      <c r="AW345" s="273">
        <v>2000</v>
      </c>
      <c r="AX345" s="273"/>
      <c r="AY345" s="273"/>
      <c r="AZ345" s="261"/>
      <c r="BA345" s="201"/>
    </row>
    <row r="346" spans="1:53" s="262" customFormat="1" ht="46.5" customHeight="1">
      <c r="A346" s="323" t="s">
        <v>133</v>
      </c>
      <c r="B346" s="318" t="s">
        <v>917</v>
      </c>
      <c r="C346" s="260"/>
      <c r="D346" s="260"/>
      <c r="E346" s="268"/>
      <c r="F346" s="260"/>
      <c r="G346" s="209"/>
      <c r="H346" s="268"/>
      <c r="I346" s="211"/>
      <c r="J346" s="212"/>
      <c r="K346" s="212"/>
      <c r="L346" s="212"/>
      <c r="M346" s="212"/>
      <c r="N346" s="212"/>
      <c r="O346" s="212"/>
      <c r="P346" s="212"/>
      <c r="Q346" s="212"/>
      <c r="R346" s="212">
        <f t="shared" si="563"/>
        <v>2000</v>
      </c>
      <c r="S346" s="212">
        <v>2000</v>
      </c>
      <c r="T346" s="212"/>
      <c r="U346" s="212"/>
      <c r="V346" s="212"/>
      <c r="W346" s="212"/>
      <c r="X346" s="212"/>
      <c r="Y346" s="212"/>
      <c r="Z346" s="212"/>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f t="shared" si="561"/>
        <v>1200</v>
      </c>
      <c r="AW346" s="212">
        <v>1200</v>
      </c>
      <c r="AX346" s="212"/>
      <c r="AY346" s="212"/>
      <c r="AZ346" s="243"/>
      <c r="BA346" s="201"/>
    </row>
    <row r="347" spans="1:53" s="262" customFormat="1" ht="46.5" customHeight="1">
      <c r="A347" s="323" t="s">
        <v>918</v>
      </c>
      <c r="B347" s="318" t="s">
        <v>919</v>
      </c>
      <c r="C347" s="260"/>
      <c r="D347" s="260"/>
      <c r="E347" s="268"/>
      <c r="F347" s="260"/>
      <c r="G347" s="209"/>
      <c r="H347" s="268"/>
      <c r="I347" s="211"/>
      <c r="J347" s="212"/>
      <c r="K347" s="212"/>
      <c r="L347" s="212"/>
      <c r="M347" s="212"/>
      <c r="N347" s="212"/>
      <c r="O347" s="212"/>
      <c r="P347" s="212"/>
      <c r="Q347" s="212"/>
      <c r="R347" s="212">
        <f t="shared" si="563"/>
        <v>1954</v>
      </c>
      <c r="S347" s="212">
        <v>1954</v>
      </c>
      <c r="T347" s="212"/>
      <c r="U347" s="212"/>
      <c r="V347" s="212"/>
      <c r="W347" s="212"/>
      <c r="X347" s="212"/>
      <c r="Y347" s="212"/>
      <c r="Z347" s="212"/>
      <c r="AA347" s="212"/>
      <c r="AB347" s="212"/>
      <c r="AC347" s="212"/>
      <c r="AD347" s="212"/>
      <c r="AE347" s="212"/>
      <c r="AF347" s="212"/>
      <c r="AG347" s="212"/>
      <c r="AH347" s="212"/>
      <c r="AI347" s="212"/>
      <c r="AJ347" s="212"/>
      <c r="AK347" s="212"/>
      <c r="AL347" s="212"/>
      <c r="AM347" s="212"/>
      <c r="AN347" s="212"/>
      <c r="AO347" s="212"/>
      <c r="AP347" s="212"/>
      <c r="AQ347" s="212"/>
      <c r="AR347" s="212"/>
      <c r="AS347" s="212"/>
      <c r="AT347" s="212"/>
      <c r="AU347" s="212"/>
      <c r="AV347" s="212">
        <f t="shared" si="561"/>
        <v>1736</v>
      </c>
      <c r="AW347" s="212">
        <f>1175+561</f>
        <v>1736</v>
      </c>
      <c r="AX347" s="212"/>
      <c r="AY347" s="212"/>
      <c r="AZ347" s="243"/>
      <c r="BA347" s="201"/>
    </row>
    <row r="348" spans="1:53" s="257" customFormat="1" ht="33.75" customHeight="1">
      <c r="A348" s="287" t="s">
        <v>278</v>
      </c>
      <c r="B348" s="236" t="s">
        <v>169</v>
      </c>
      <c r="C348" s="311"/>
      <c r="D348" s="311"/>
      <c r="E348" s="311"/>
      <c r="F348" s="311"/>
      <c r="G348" s="311"/>
      <c r="H348" s="311"/>
      <c r="I348" s="256"/>
      <c r="J348" s="300"/>
      <c r="K348" s="300"/>
      <c r="L348" s="300"/>
      <c r="M348" s="300"/>
      <c r="N348" s="300"/>
      <c r="O348" s="300"/>
      <c r="P348" s="300"/>
      <c r="Q348" s="300"/>
      <c r="R348" s="300">
        <f>SUM(R349:R355)</f>
        <v>11109</v>
      </c>
      <c r="S348" s="300">
        <f>SUM(S349:S355)</f>
        <v>11109</v>
      </c>
      <c r="T348" s="300">
        <f t="shared" ref="T348:AY348" si="564">SUM(T349:T355)</f>
        <v>0</v>
      </c>
      <c r="U348" s="300">
        <f t="shared" si="564"/>
        <v>0</v>
      </c>
      <c r="V348" s="300">
        <f t="shared" si="564"/>
        <v>0</v>
      </c>
      <c r="W348" s="300">
        <f t="shared" si="564"/>
        <v>0</v>
      </c>
      <c r="X348" s="300">
        <f t="shared" si="564"/>
        <v>0</v>
      </c>
      <c r="Y348" s="300">
        <f t="shared" si="564"/>
        <v>0</v>
      </c>
      <c r="Z348" s="300">
        <f t="shared" si="564"/>
        <v>0</v>
      </c>
      <c r="AA348" s="300">
        <f t="shared" si="564"/>
        <v>0</v>
      </c>
      <c r="AB348" s="300">
        <f t="shared" si="564"/>
        <v>0</v>
      </c>
      <c r="AC348" s="300">
        <f t="shared" si="564"/>
        <v>0</v>
      </c>
      <c r="AD348" s="300">
        <f t="shared" si="564"/>
        <v>0</v>
      </c>
      <c r="AE348" s="300">
        <f t="shared" si="564"/>
        <v>0</v>
      </c>
      <c r="AF348" s="300">
        <f t="shared" si="564"/>
        <v>0</v>
      </c>
      <c r="AG348" s="300">
        <f t="shared" si="564"/>
        <v>0</v>
      </c>
      <c r="AH348" s="300">
        <f t="shared" si="564"/>
        <v>0</v>
      </c>
      <c r="AI348" s="300">
        <f t="shared" si="564"/>
        <v>0</v>
      </c>
      <c r="AJ348" s="300">
        <f t="shared" si="564"/>
        <v>0</v>
      </c>
      <c r="AK348" s="300">
        <f t="shared" si="564"/>
        <v>0</v>
      </c>
      <c r="AL348" s="300">
        <f t="shared" si="564"/>
        <v>0</v>
      </c>
      <c r="AM348" s="300">
        <f t="shared" si="564"/>
        <v>0</v>
      </c>
      <c r="AN348" s="300">
        <f t="shared" si="564"/>
        <v>0</v>
      </c>
      <c r="AO348" s="300">
        <f t="shared" si="564"/>
        <v>0</v>
      </c>
      <c r="AP348" s="300">
        <f t="shared" si="564"/>
        <v>0</v>
      </c>
      <c r="AQ348" s="300">
        <f t="shared" si="564"/>
        <v>0</v>
      </c>
      <c r="AR348" s="300">
        <f t="shared" si="564"/>
        <v>0</v>
      </c>
      <c r="AS348" s="300">
        <f t="shared" si="564"/>
        <v>0</v>
      </c>
      <c r="AT348" s="300">
        <f t="shared" si="564"/>
        <v>0</v>
      </c>
      <c r="AU348" s="300">
        <f t="shared" si="564"/>
        <v>0</v>
      </c>
      <c r="AV348" s="300">
        <f>SUM(AV349:AV355)</f>
        <v>600</v>
      </c>
      <c r="AW348" s="300">
        <f>SUM(AW349:AW355)</f>
        <v>600</v>
      </c>
      <c r="AX348" s="300">
        <f t="shared" si="564"/>
        <v>0</v>
      </c>
      <c r="AY348" s="300">
        <f t="shared" si="564"/>
        <v>0</v>
      </c>
      <c r="AZ348" s="256"/>
      <c r="BA348" s="533"/>
    </row>
    <row r="349" spans="1:53" s="257" customFormat="1" ht="33.75" customHeight="1">
      <c r="A349" s="287" t="s">
        <v>42</v>
      </c>
      <c r="B349" s="236" t="s">
        <v>45</v>
      </c>
      <c r="C349" s="311"/>
      <c r="D349" s="311"/>
      <c r="E349" s="311"/>
      <c r="F349" s="311"/>
      <c r="G349" s="311"/>
      <c r="H349" s="311"/>
      <c r="I349" s="256"/>
      <c r="J349" s="300"/>
      <c r="K349" s="300"/>
      <c r="L349" s="300"/>
      <c r="M349" s="300"/>
      <c r="N349" s="300"/>
      <c r="O349" s="300"/>
      <c r="P349" s="300"/>
      <c r="Q349" s="300"/>
      <c r="R349" s="300"/>
      <c r="S349" s="300"/>
      <c r="T349" s="300"/>
      <c r="U349" s="300"/>
      <c r="V349" s="300"/>
      <c r="W349" s="300"/>
      <c r="X349" s="300"/>
      <c r="Y349" s="300"/>
      <c r="Z349" s="300"/>
      <c r="AA349" s="300"/>
      <c r="AB349" s="300"/>
      <c r="AC349" s="300"/>
      <c r="AD349" s="300"/>
      <c r="AE349" s="300"/>
      <c r="AF349" s="300"/>
      <c r="AG349" s="300"/>
      <c r="AH349" s="300"/>
      <c r="AI349" s="300"/>
      <c r="AJ349" s="300"/>
      <c r="AK349" s="300"/>
      <c r="AL349" s="300"/>
      <c r="AM349" s="300"/>
      <c r="AN349" s="300"/>
      <c r="AO349" s="300"/>
      <c r="AP349" s="300"/>
      <c r="AQ349" s="300"/>
      <c r="AR349" s="300"/>
      <c r="AS349" s="300"/>
      <c r="AT349" s="300"/>
      <c r="AU349" s="300"/>
      <c r="AV349" s="300"/>
      <c r="AW349" s="300"/>
      <c r="AX349" s="300"/>
      <c r="AY349" s="300"/>
      <c r="AZ349" s="256"/>
      <c r="BA349" s="533"/>
    </row>
    <row r="350" spans="1:53" s="257" customFormat="1" ht="33.75" customHeight="1">
      <c r="A350" s="282" t="s">
        <v>37</v>
      </c>
      <c r="B350" s="629" t="s">
        <v>992</v>
      </c>
      <c r="C350" s="311"/>
      <c r="D350" s="311"/>
      <c r="E350" s="490" t="s">
        <v>993</v>
      </c>
      <c r="F350" s="311"/>
      <c r="G350" s="311"/>
      <c r="H350" s="311"/>
      <c r="I350" s="256"/>
      <c r="J350" s="300"/>
      <c r="K350" s="300"/>
      <c r="L350" s="300"/>
      <c r="M350" s="300"/>
      <c r="N350" s="300"/>
      <c r="O350" s="300"/>
      <c r="P350" s="300"/>
      <c r="Q350" s="300"/>
      <c r="R350" s="273">
        <v>4109</v>
      </c>
      <c r="S350" s="212">
        <v>4109</v>
      </c>
      <c r="T350" s="300"/>
      <c r="U350" s="300"/>
      <c r="V350" s="300"/>
      <c r="W350" s="300"/>
      <c r="X350" s="300"/>
      <c r="Y350" s="300"/>
      <c r="Z350" s="300"/>
      <c r="AA350" s="300"/>
      <c r="AB350" s="300"/>
      <c r="AC350" s="300"/>
      <c r="AD350" s="300"/>
      <c r="AE350" s="300"/>
      <c r="AF350" s="300"/>
      <c r="AG350" s="300"/>
      <c r="AH350" s="300"/>
      <c r="AI350" s="300"/>
      <c r="AJ350" s="300"/>
      <c r="AK350" s="300"/>
      <c r="AL350" s="300"/>
      <c r="AM350" s="300"/>
      <c r="AN350" s="300"/>
      <c r="AO350" s="300"/>
      <c r="AP350" s="300"/>
      <c r="AQ350" s="300"/>
      <c r="AR350" s="300"/>
      <c r="AS350" s="300"/>
      <c r="AT350" s="300"/>
      <c r="AU350" s="300"/>
      <c r="AV350" s="273">
        <f>+AW350</f>
        <v>160</v>
      </c>
      <c r="AW350" s="273">
        <v>160</v>
      </c>
      <c r="AX350" s="300"/>
      <c r="AY350" s="300"/>
      <c r="AZ350" s="256"/>
      <c r="BA350" s="533"/>
    </row>
    <row r="351" spans="1:53" s="257" customFormat="1" ht="33.75" customHeight="1">
      <c r="A351" s="282" t="s">
        <v>39</v>
      </c>
      <c r="B351" s="629" t="s">
        <v>994</v>
      </c>
      <c r="C351" s="311"/>
      <c r="D351" s="311"/>
      <c r="E351" s="490" t="s">
        <v>993</v>
      </c>
      <c r="F351" s="311"/>
      <c r="G351" s="311"/>
      <c r="H351" s="311"/>
      <c r="I351" s="256"/>
      <c r="J351" s="300"/>
      <c r="K351" s="300"/>
      <c r="L351" s="300"/>
      <c r="M351" s="300"/>
      <c r="N351" s="300"/>
      <c r="O351" s="300"/>
      <c r="P351" s="300"/>
      <c r="Q351" s="300"/>
      <c r="R351" s="273">
        <v>1000</v>
      </c>
      <c r="S351" s="212">
        <v>1000</v>
      </c>
      <c r="T351" s="300"/>
      <c r="U351" s="300"/>
      <c r="V351" s="300"/>
      <c r="W351" s="300"/>
      <c r="X351" s="300"/>
      <c r="Y351" s="300"/>
      <c r="Z351" s="300"/>
      <c r="AA351" s="300"/>
      <c r="AB351" s="300"/>
      <c r="AC351" s="300"/>
      <c r="AD351" s="300"/>
      <c r="AE351" s="300"/>
      <c r="AF351" s="300"/>
      <c r="AG351" s="300"/>
      <c r="AH351" s="300"/>
      <c r="AI351" s="300"/>
      <c r="AJ351" s="300"/>
      <c r="AK351" s="300"/>
      <c r="AL351" s="300"/>
      <c r="AM351" s="300"/>
      <c r="AN351" s="300"/>
      <c r="AO351" s="300"/>
      <c r="AP351" s="300"/>
      <c r="AQ351" s="300"/>
      <c r="AR351" s="300"/>
      <c r="AS351" s="300"/>
      <c r="AT351" s="300"/>
      <c r="AU351" s="300"/>
      <c r="AV351" s="273">
        <f t="shared" ref="AV351:AV355" si="565">+AW351</f>
        <v>70</v>
      </c>
      <c r="AW351" s="273">
        <v>70</v>
      </c>
      <c r="AX351" s="300"/>
      <c r="AY351" s="300"/>
      <c r="AZ351" s="256"/>
      <c r="BA351" s="533"/>
    </row>
    <row r="352" spans="1:53" s="257" customFormat="1" ht="33.75" customHeight="1">
      <c r="A352" s="282" t="s">
        <v>77</v>
      </c>
      <c r="B352" s="629" t="s">
        <v>995</v>
      </c>
      <c r="C352" s="311"/>
      <c r="D352" s="311"/>
      <c r="E352" s="490" t="s">
        <v>993</v>
      </c>
      <c r="F352" s="311"/>
      <c r="G352" s="311"/>
      <c r="H352" s="311"/>
      <c r="I352" s="256"/>
      <c r="J352" s="300"/>
      <c r="K352" s="300"/>
      <c r="L352" s="300"/>
      <c r="M352" s="300"/>
      <c r="N352" s="300"/>
      <c r="O352" s="300"/>
      <c r="P352" s="300"/>
      <c r="Q352" s="300"/>
      <c r="R352" s="273">
        <v>3000</v>
      </c>
      <c r="S352" s="212">
        <v>3000</v>
      </c>
      <c r="T352" s="300"/>
      <c r="U352" s="300"/>
      <c r="V352" s="300"/>
      <c r="W352" s="300"/>
      <c r="X352" s="300"/>
      <c r="Y352" s="300"/>
      <c r="Z352" s="300"/>
      <c r="AA352" s="300"/>
      <c r="AB352" s="300"/>
      <c r="AC352" s="300"/>
      <c r="AD352" s="300"/>
      <c r="AE352" s="300"/>
      <c r="AF352" s="300"/>
      <c r="AG352" s="300"/>
      <c r="AH352" s="300"/>
      <c r="AI352" s="300"/>
      <c r="AJ352" s="300"/>
      <c r="AK352" s="300"/>
      <c r="AL352" s="300"/>
      <c r="AM352" s="300"/>
      <c r="AN352" s="300"/>
      <c r="AO352" s="300"/>
      <c r="AP352" s="300"/>
      <c r="AQ352" s="300"/>
      <c r="AR352" s="300"/>
      <c r="AS352" s="300"/>
      <c r="AT352" s="300"/>
      <c r="AU352" s="300"/>
      <c r="AV352" s="273">
        <f t="shared" si="565"/>
        <v>160</v>
      </c>
      <c r="AW352" s="273">
        <v>160</v>
      </c>
      <c r="AX352" s="300"/>
      <c r="AY352" s="300"/>
      <c r="AZ352" s="256"/>
      <c r="BA352" s="533"/>
    </row>
    <row r="353" spans="1:53" s="257" customFormat="1" ht="33.75" customHeight="1">
      <c r="A353" s="282" t="s">
        <v>79</v>
      </c>
      <c r="B353" s="629" t="s">
        <v>996</v>
      </c>
      <c r="C353" s="311"/>
      <c r="D353" s="311"/>
      <c r="E353" s="490" t="s">
        <v>993</v>
      </c>
      <c r="F353" s="311"/>
      <c r="G353" s="311"/>
      <c r="H353" s="311"/>
      <c r="I353" s="256"/>
      <c r="J353" s="300"/>
      <c r="K353" s="300"/>
      <c r="L353" s="300"/>
      <c r="M353" s="300"/>
      <c r="N353" s="300"/>
      <c r="O353" s="300"/>
      <c r="P353" s="300"/>
      <c r="Q353" s="300"/>
      <c r="R353" s="273">
        <v>1000</v>
      </c>
      <c r="S353" s="212">
        <v>1000</v>
      </c>
      <c r="T353" s="300"/>
      <c r="U353" s="300"/>
      <c r="V353" s="300"/>
      <c r="W353" s="300"/>
      <c r="X353" s="300"/>
      <c r="Y353" s="300"/>
      <c r="Z353" s="300"/>
      <c r="AA353" s="300"/>
      <c r="AB353" s="300"/>
      <c r="AC353" s="300"/>
      <c r="AD353" s="300"/>
      <c r="AE353" s="300"/>
      <c r="AF353" s="300"/>
      <c r="AG353" s="300"/>
      <c r="AH353" s="300"/>
      <c r="AI353" s="300"/>
      <c r="AJ353" s="300"/>
      <c r="AK353" s="300"/>
      <c r="AL353" s="300"/>
      <c r="AM353" s="300"/>
      <c r="AN353" s="300"/>
      <c r="AO353" s="300"/>
      <c r="AP353" s="300"/>
      <c r="AQ353" s="300"/>
      <c r="AR353" s="300"/>
      <c r="AS353" s="300"/>
      <c r="AT353" s="300"/>
      <c r="AU353" s="300"/>
      <c r="AV353" s="273">
        <f t="shared" si="565"/>
        <v>70</v>
      </c>
      <c r="AW353" s="273">
        <v>70</v>
      </c>
      <c r="AX353" s="300"/>
      <c r="AY353" s="300"/>
      <c r="AZ353" s="256"/>
      <c r="BA353" s="533"/>
    </row>
    <row r="354" spans="1:53" s="257" customFormat="1" ht="33.75" customHeight="1">
      <c r="A354" s="282" t="s">
        <v>133</v>
      </c>
      <c r="B354" s="629" t="s">
        <v>997</v>
      </c>
      <c r="C354" s="311"/>
      <c r="D354" s="311"/>
      <c r="E354" s="490" t="s">
        <v>993</v>
      </c>
      <c r="F354" s="311"/>
      <c r="G354" s="311"/>
      <c r="H354" s="311"/>
      <c r="I354" s="256"/>
      <c r="J354" s="300"/>
      <c r="K354" s="300"/>
      <c r="L354" s="300"/>
      <c r="M354" s="300"/>
      <c r="N354" s="300"/>
      <c r="O354" s="300"/>
      <c r="P354" s="300"/>
      <c r="Q354" s="300"/>
      <c r="R354" s="273">
        <v>1000</v>
      </c>
      <c r="S354" s="212">
        <v>1000</v>
      </c>
      <c r="T354" s="300"/>
      <c r="U354" s="300"/>
      <c r="V354" s="300"/>
      <c r="W354" s="300"/>
      <c r="X354" s="300"/>
      <c r="Y354" s="300"/>
      <c r="Z354" s="300"/>
      <c r="AA354" s="300"/>
      <c r="AB354" s="300"/>
      <c r="AC354" s="300"/>
      <c r="AD354" s="300"/>
      <c r="AE354" s="300"/>
      <c r="AF354" s="300"/>
      <c r="AG354" s="300"/>
      <c r="AH354" s="300"/>
      <c r="AI354" s="300"/>
      <c r="AJ354" s="300"/>
      <c r="AK354" s="300"/>
      <c r="AL354" s="300"/>
      <c r="AM354" s="300"/>
      <c r="AN354" s="300"/>
      <c r="AO354" s="300"/>
      <c r="AP354" s="300"/>
      <c r="AQ354" s="300"/>
      <c r="AR354" s="300"/>
      <c r="AS354" s="300"/>
      <c r="AT354" s="300"/>
      <c r="AU354" s="300"/>
      <c r="AV354" s="273">
        <f t="shared" si="565"/>
        <v>70</v>
      </c>
      <c r="AW354" s="273">
        <v>70</v>
      </c>
      <c r="AX354" s="300"/>
      <c r="AY354" s="300"/>
      <c r="AZ354" s="256"/>
      <c r="BA354" s="533"/>
    </row>
    <row r="355" spans="1:53" s="257" customFormat="1" ht="33.75" customHeight="1">
      <c r="A355" s="282" t="s">
        <v>918</v>
      </c>
      <c r="B355" s="629" t="s">
        <v>998</v>
      </c>
      <c r="C355" s="260"/>
      <c r="D355" s="260"/>
      <c r="E355" s="490" t="s">
        <v>993</v>
      </c>
      <c r="F355" s="260"/>
      <c r="G355" s="209"/>
      <c r="H355" s="268"/>
      <c r="I355" s="211"/>
      <c r="J355" s="212"/>
      <c r="K355" s="212"/>
      <c r="L355" s="212"/>
      <c r="M355" s="212"/>
      <c r="N355" s="212"/>
      <c r="O355" s="212"/>
      <c r="P355" s="212"/>
      <c r="Q355" s="212"/>
      <c r="R355" s="273">
        <v>1000</v>
      </c>
      <c r="S355" s="212">
        <v>1000</v>
      </c>
      <c r="T355" s="212"/>
      <c r="U355" s="212"/>
      <c r="V355" s="212"/>
      <c r="W355" s="212"/>
      <c r="X355" s="212"/>
      <c r="Y355" s="212"/>
      <c r="Z355" s="212"/>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73">
        <f t="shared" si="565"/>
        <v>70</v>
      </c>
      <c r="AW355" s="273">
        <v>70</v>
      </c>
      <c r="AX355" s="212"/>
      <c r="AY355" s="212"/>
      <c r="AZ355" s="243"/>
      <c r="BA355" s="533"/>
    </row>
    <row r="356" spans="1:53" s="262" customFormat="1" ht="26.25" customHeight="1">
      <c r="A356" s="258"/>
      <c r="B356" s="660"/>
      <c r="C356" s="260"/>
      <c r="D356" s="260"/>
      <c r="E356" s="268"/>
      <c r="F356" s="260"/>
      <c r="G356" s="209"/>
      <c r="H356" s="268"/>
      <c r="I356" s="211"/>
      <c r="J356" s="212"/>
      <c r="K356" s="212"/>
      <c r="L356" s="212"/>
      <c r="M356" s="212"/>
      <c r="N356" s="212"/>
      <c r="O356" s="212"/>
      <c r="P356" s="212"/>
      <c r="Q356" s="212"/>
      <c r="R356" s="212"/>
      <c r="S356" s="212"/>
      <c r="T356" s="212"/>
      <c r="U356" s="212"/>
      <c r="V356" s="212"/>
      <c r="W356" s="212"/>
      <c r="X356" s="212"/>
      <c r="Y356" s="212"/>
      <c r="Z356" s="212"/>
      <c r="AA356" s="212"/>
      <c r="AB356" s="212"/>
      <c r="AC356" s="212"/>
      <c r="AD356" s="212"/>
      <c r="AE356" s="212"/>
      <c r="AF356" s="212"/>
      <c r="AG356" s="212"/>
      <c r="AH356" s="212"/>
      <c r="AI356" s="212"/>
      <c r="AJ356" s="212"/>
      <c r="AK356" s="212"/>
      <c r="AL356" s="212"/>
      <c r="AM356" s="212"/>
      <c r="AN356" s="212"/>
      <c r="AO356" s="212"/>
      <c r="AP356" s="212"/>
      <c r="AQ356" s="212"/>
      <c r="AR356" s="212"/>
      <c r="AS356" s="212"/>
      <c r="AT356" s="212"/>
      <c r="AU356" s="212"/>
      <c r="AV356" s="212"/>
      <c r="AW356" s="212"/>
      <c r="AX356" s="212"/>
      <c r="AY356" s="212"/>
      <c r="AZ356" s="243"/>
      <c r="BA356" s="201"/>
    </row>
    <row r="357" spans="1:53" s="232" customFormat="1" ht="33.75" customHeight="1">
      <c r="A357" s="275"/>
      <c r="B357" s="228" t="s">
        <v>327</v>
      </c>
      <c r="C357" s="229"/>
      <c r="D357" s="229"/>
      <c r="E357" s="229"/>
      <c r="F357" s="229"/>
      <c r="G357" s="229"/>
      <c r="H357" s="229"/>
      <c r="I357" s="231"/>
      <c r="J357" s="215"/>
      <c r="K357" s="215"/>
      <c r="L357" s="215"/>
      <c r="M357" s="215"/>
      <c r="N357" s="215"/>
      <c r="O357" s="215"/>
      <c r="P357" s="212"/>
      <c r="Q357" s="212"/>
      <c r="R357" s="215"/>
      <c r="S357" s="215"/>
      <c r="T357" s="215"/>
      <c r="U357" s="215"/>
      <c r="V357" s="215"/>
      <c r="W357" s="215"/>
      <c r="X357" s="215"/>
      <c r="Y357" s="215"/>
      <c r="Z357" s="215"/>
      <c r="AA357" s="215"/>
      <c r="AB357" s="215"/>
      <c r="AC357" s="215"/>
      <c r="AD357" s="215"/>
      <c r="AE357" s="215"/>
      <c r="AF357" s="215"/>
      <c r="AG357" s="215"/>
      <c r="AH357" s="215"/>
      <c r="AI357" s="215"/>
      <c r="AJ357" s="215"/>
      <c r="AK357" s="215"/>
      <c r="AL357" s="215"/>
      <c r="AM357" s="215"/>
      <c r="AN357" s="215"/>
      <c r="AO357" s="573"/>
      <c r="AP357" s="215">
        <v>151866.20000000001</v>
      </c>
      <c r="AQ357" s="215"/>
      <c r="AR357" s="215"/>
      <c r="AS357" s="215"/>
      <c r="AT357" s="215"/>
      <c r="AU357" s="215"/>
      <c r="AV357" s="215"/>
      <c r="AW357" s="215">
        <v>101946</v>
      </c>
      <c r="AX357" s="215"/>
      <c r="AY357" s="215"/>
      <c r="AZ357" s="329"/>
    </row>
    <row r="358" spans="1:53" s="251" customFormat="1" ht="33.75" customHeight="1">
      <c r="A358" s="252" t="s">
        <v>570</v>
      </c>
      <c r="B358" s="234" t="s">
        <v>571</v>
      </c>
      <c r="C358" s="229"/>
      <c r="D358" s="229"/>
      <c r="E358" s="229"/>
      <c r="F358" s="229"/>
      <c r="G358" s="235"/>
      <c r="H358" s="229"/>
      <c r="I358" s="231"/>
      <c r="J358" s="215">
        <f t="shared" ref="J358:AY358" si="566">J359+J370+J383</f>
        <v>1527229</v>
      </c>
      <c r="K358" s="215">
        <f t="shared" si="566"/>
        <v>521453</v>
      </c>
      <c r="L358" s="215">
        <f t="shared" si="566"/>
        <v>136892</v>
      </c>
      <c r="M358" s="215">
        <f t="shared" si="566"/>
        <v>13850</v>
      </c>
      <c r="N358" s="215">
        <f t="shared" si="566"/>
        <v>136892</v>
      </c>
      <c r="O358" s="215">
        <f t="shared" si="566"/>
        <v>38850</v>
      </c>
      <c r="P358" s="215">
        <f t="shared" si="566"/>
        <v>208644</v>
      </c>
      <c r="Q358" s="215">
        <f t="shared" si="566"/>
        <v>65602</v>
      </c>
      <c r="R358" s="215">
        <f t="shared" si="566"/>
        <v>596124.5</v>
      </c>
      <c r="S358" s="215">
        <f t="shared" si="566"/>
        <v>387489.6</v>
      </c>
      <c r="T358" s="215">
        <f t="shared" si="566"/>
        <v>0</v>
      </c>
      <c r="U358" s="215">
        <f t="shared" si="566"/>
        <v>1850</v>
      </c>
      <c r="V358" s="215">
        <f t="shared" si="566"/>
        <v>289570</v>
      </c>
      <c r="W358" s="215">
        <f t="shared" si="566"/>
        <v>71752</v>
      </c>
      <c r="X358" s="215">
        <f t="shared" si="566"/>
        <v>51752</v>
      </c>
      <c r="Y358" s="215">
        <f t="shared" si="566"/>
        <v>0</v>
      </c>
      <c r="Z358" s="215">
        <f t="shared" si="566"/>
        <v>1850</v>
      </c>
      <c r="AA358" s="215">
        <f t="shared" si="566"/>
        <v>85873</v>
      </c>
      <c r="AB358" s="215">
        <f t="shared" si="566"/>
        <v>70256</v>
      </c>
      <c r="AC358" s="215">
        <f t="shared" si="566"/>
        <v>1000</v>
      </c>
      <c r="AD358" s="215">
        <f t="shared" si="566"/>
        <v>0</v>
      </c>
      <c r="AE358" s="215">
        <f t="shared" si="566"/>
        <v>30099.656262999997</v>
      </c>
      <c r="AF358" s="215">
        <f t="shared" si="566"/>
        <v>48512.492611000001</v>
      </c>
      <c r="AG358" s="215">
        <f t="shared" si="566"/>
        <v>157625</v>
      </c>
      <c r="AH358" s="215">
        <f t="shared" si="566"/>
        <v>122008</v>
      </c>
      <c r="AI358" s="215">
        <f t="shared" si="566"/>
        <v>0</v>
      </c>
      <c r="AJ358" s="215">
        <f t="shared" si="566"/>
        <v>0</v>
      </c>
      <c r="AK358" s="215">
        <f t="shared" si="566"/>
        <v>107417</v>
      </c>
      <c r="AL358" s="215">
        <f t="shared" si="566"/>
        <v>79600</v>
      </c>
      <c r="AM358" s="215">
        <f t="shared" si="566"/>
        <v>0</v>
      </c>
      <c r="AN358" s="215">
        <f t="shared" si="566"/>
        <v>0</v>
      </c>
      <c r="AO358" s="215">
        <f t="shared" si="566"/>
        <v>111010</v>
      </c>
      <c r="AP358" s="215">
        <f t="shared" si="566"/>
        <v>82393</v>
      </c>
      <c r="AQ358" s="215">
        <f t="shared" si="566"/>
        <v>0</v>
      </c>
      <c r="AR358" s="215">
        <f t="shared" si="566"/>
        <v>0</v>
      </c>
      <c r="AS358" s="215">
        <f t="shared" si="566"/>
        <v>379884</v>
      </c>
      <c r="AT358" s="215">
        <f t="shared" si="566"/>
        <v>286106</v>
      </c>
      <c r="AU358" s="215">
        <f t="shared" si="566"/>
        <v>207372</v>
      </c>
      <c r="AV358" s="215">
        <f t="shared" si="566"/>
        <v>138156</v>
      </c>
      <c r="AW358" s="215">
        <f t="shared" si="566"/>
        <v>101946</v>
      </c>
      <c r="AX358" s="215">
        <f t="shared" si="566"/>
        <v>0</v>
      </c>
      <c r="AY358" s="215">
        <f t="shared" si="566"/>
        <v>0</v>
      </c>
      <c r="AZ358" s="230"/>
      <c r="BA358" s="232"/>
    </row>
    <row r="359" spans="1:53" s="232" customFormat="1" ht="33.75" customHeight="1">
      <c r="A359" s="356" t="s">
        <v>46</v>
      </c>
      <c r="B359" s="540" t="s">
        <v>897</v>
      </c>
      <c r="C359" s="337"/>
      <c r="D359" s="337"/>
      <c r="E359" s="337"/>
      <c r="F359" s="337"/>
      <c r="G359" s="337"/>
      <c r="H359" s="337"/>
      <c r="I359" s="523"/>
      <c r="J359" s="355">
        <f t="shared" ref="J359:AH359" si="567">J360+J362</f>
        <v>175700</v>
      </c>
      <c r="K359" s="355">
        <f t="shared" si="567"/>
        <v>109600</v>
      </c>
      <c r="L359" s="355">
        <f t="shared" si="567"/>
        <v>52500</v>
      </c>
      <c r="M359" s="355">
        <f t="shared" si="567"/>
        <v>0</v>
      </c>
      <c r="N359" s="355">
        <f t="shared" si="567"/>
        <v>52500</v>
      </c>
      <c r="O359" s="355">
        <f t="shared" si="567"/>
        <v>0</v>
      </c>
      <c r="P359" s="355">
        <f t="shared" si="567"/>
        <v>66194</v>
      </c>
      <c r="Q359" s="355">
        <f t="shared" si="567"/>
        <v>13694</v>
      </c>
      <c r="R359" s="355">
        <f t="shared" si="567"/>
        <v>105750</v>
      </c>
      <c r="S359" s="355">
        <f t="shared" si="567"/>
        <v>102750</v>
      </c>
      <c r="T359" s="355">
        <f t="shared" si="567"/>
        <v>0</v>
      </c>
      <c r="U359" s="355">
        <f t="shared" si="567"/>
        <v>0</v>
      </c>
      <c r="V359" s="355">
        <f t="shared" si="567"/>
        <v>93349</v>
      </c>
      <c r="W359" s="355">
        <f t="shared" si="567"/>
        <v>13694</v>
      </c>
      <c r="X359" s="355">
        <f t="shared" si="567"/>
        <v>13694</v>
      </c>
      <c r="Y359" s="355">
        <f t="shared" si="567"/>
        <v>0</v>
      </c>
      <c r="Z359" s="355">
        <f t="shared" si="567"/>
        <v>0</v>
      </c>
      <c r="AA359" s="355">
        <f t="shared" si="567"/>
        <v>31095</v>
      </c>
      <c r="AB359" s="355">
        <f t="shared" si="567"/>
        <v>31095</v>
      </c>
      <c r="AC359" s="355">
        <f t="shared" si="567"/>
        <v>0</v>
      </c>
      <c r="AD359" s="355">
        <f t="shared" si="567"/>
        <v>0</v>
      </c>
      <c r="AE359" s="355">
        <f t="shared" si="567"/>
        <v>7663.3909999999996</v>
      </c>
      <c r="AF359" s="355">
        <f t="shared" si="567"/>
        <v>15923.227348</v>
      </c>
      <c r="AG359" s="355">
        <f t="shared" si="567"/>
        <v>44789</v>
      </c>
      <c r="AH359" s="355">
        <f t="shared" si="567"/>
        <v>44789</v>
      </c>
      <c r="AI359" s="355"/>
      <c r="AJ359" s="355"/>
      <c r="AK359" s="355">
        <f t="shared" ref="AK359:AW359" si="568">AK360+AK362</f>
        <v>39100</v>
      </c>
      <c r="AL359" s="355">
        <f t="shared" si="568"/>
        <v>39900</v>
      </c>
      <c r="AM359" s="355">
        <f t="shared" si="568"/>
        <v>0</v>
      </c>
      <c r="AN359" s="355">
        <f t="shared" si="568"/>
        <v>0</v>
      </c>
      <c r="AO359" s="355">
        <f t="shared" si="568"/>
        <v>40600</v>
      </c>
      <c r="AP359" s="355">
        <f t="shared" si="568"/>
        <v>40600</v>
      </c>
      <c r="AQ359" s="355">
        <f t="shared" si="568"/>
        <v>0</v>
      </c>
      <c r="AR359" s="355">
        <f t="shared" si="568"/>
        <v>0</v>
      </c>
      <c r="AS359" s="215">
        <f t="shared" si="568"/>
        <v>134009</v>
      </c>
      <c r="AT359" s="215">
        <f t="shared" si="568"/>
        <v>85389</v>
      </c>
      <c r="AU359" s="215">
        <f t="shared" si="568"/>
        <v>85389</v>
      </c>
      <c r="AV359" s="215">
        <f t="shared" si="568"/>
        <v>17100</v>
      </c>
      <c r="AW359" s="215">
        <f t="shared" si="568"/>
        <v>17100</v>
      </c>
      <c r="AX359" s="215"/>
      <c r="AY359" s="215"/>
      <c r="AZ359" s="286"/>
    </row>
    <row r="360" spans="1:53" s="232" customFormat="1" ht="33.75" customHeight="1">
      <c r="A360" s="275" t="s">
        <v>35</v>
      </c>
      <c r="B360" s="236" t="s">
        <v>43</v>
      </c>
      <c r="C360" s="229"/>
      <c r="D360" s="229"/>
      <c r="E360" s="229"/>
      <c r="F360" s="229"/>
      <c r="G360" s="229"/>
      <c r="H360" s="229"/>
      <c r="I360" s="231"/>
      <c r="J360" s="215">
        <f t="shared" ref="J360:AH360" si="569">SUM(J361:J361)</f>
        <v>86000</v>
      </c>
      <c r="K360" s="215">
        <f t="shared" si="569"/>
        <v>33500</v>
      </c>
      <c r="L360" s="215">
        <f t="shared" si="569"/>
        <v>52500</v>
      </c>
      <c r="M360" s="215">
        <f t="shared" si="569"/>
        <v>0</v>
      </c>
      <c r="N360" s="215">
        <f t="shared" si="569"/>
        <v>52500</v>
      </c>
      <c r="O360" s="215">
        <f t="shared" si="569"/>
        <v>0</v>
      </c>
      <c r="P360" s="215">
        <f t="shared" si="569"/>
        <v>52500</v>
      </c>
      <c r="Q360" s="215">
        <f t="shared" si="569"/>
        <v>0</v>
      </c>
      <c r="R360" s="215">
        <f t="shared" si="569"/>
        <v>30150</v>
      </c>
      <c r="S360" s="215">
        <f t="shared" si="569"/>
        <v>30150</v>
      </c>
      <c r="T360" s="215">
        <f t="shared" si="569"/>
        <v>0</v>
      </c>
      <c r="U360" s="215">
        <f t="shared" si="569"/>
        <v>0</v>
      </c>
      <c r="V360" s="215">
        <f t="shared" si="569"/>
        <v>58710</v>
      </c>
      <c r="W360" s="215">
        <f t="shared" si="569"/>
        <v>0</v>
      </c>
      <c r="X360" s="215">
        <f t="shared" si="569"/>
        <v>0</v>
      </c>
      <c r="Y360" s="215">
        <f t="shared" si="569"/>
        <v>0</v>
      </c>
      <c r="Z360" s="215">
        <f t="shared" si="569"/>
        <v>0</v>
      </c>
      <c r="AA360" s="215">
        <f t="shared" si="569"/>
        <v>10000</v>
      </c>
      <c r="AB360" s="215">
        <f t="shared" si="569"/>
        <v>10000</v>
      </c>
      <c r="AC360" s="215">
        <f t="shared" si="569"/>
        <v>0</v>
      </c>
      <c r="AD360" s="215">
        <f t="shared" si="569"/>
        <v>0</v>
      </c>
      <c r="AE360" s="215">
        <f t="shared" si="569"/>
        <v>0</v>
      </c>
      <c r="AF360" s="215">
        <f t="shared" si="569"/>
        <v>5209.8363479999998</v>
      </c>
      <c r="AG360" s="215">
        <f t="shared" si="569"/>
        <v>10000</v>
      </c>
      <c r="AH360" s="215">
        <f t="shared" si="569"/>
        <v>10000</v>
      </c>
      <c r="AI360" s="215"/>
      <c r="AJ360" s="215"/>
      <c r="AK360" s="215">
        <f t="shared" ref="AK360:AV360" si="570">SUM(AK361:AK361)</f>
        <v>17000</v>
      </c>
      <c r="AL360" s="215">
        <f t="shared" si="570"/>
        <v>17000</v>
      </c>
      <c r="AM360" s="215">
        <f t="shared" si="570"/>
        <v>0</v>
      </c>
      <c r="AN360" s="215">
        <f t="shared" si="570"/>
        <v>0</v>
      </c>
      <c r="AO360" s="215">
        <f t="shared" si="570"/>
        <v>17000</v>
      </c>
      <c r="AP360" s="215">
        <f t="shared" si="570"/>
        <v>17000</v>
      </c>
      <c r="AQ360" s="215">
        <f t="shared" si="570"/>
        <v>0</v>
      </c>
      <c r="AR360" s="215">
        <f t="shared" si="570"/>
        <v>0</v>
      </c>
      <c r="AS360" s="215">
        <f t="shared" si="570"/>
        <v>75710</v>
      </c>
      <c r="AT360" s="215">
        <f t="shared" si="570"/>
        <v>27000</v>
      </c>
      <c r="AU360" s="215">
        <f t="shared" si="570"/>
        <v>27000</v>
      </c>
      <c r="AV360" s="215">
        <f t="shared" si="570"/>
        <v>3150</v>
      </c>
      <c r="AW360" s="215">
        <f>SUM(AW361:AW361)</f>
        <v>3150</v>
      </c>
      <c r="AX360" s="215"/>
      <c r="AY360" s="215"/>
      <c r="AZ360" s="265"/>
    </row>
    <row r="361" spans="1:53" ht="74.25" customHeight="1">
      <c r="A361" s="282" t="s">
        <v>37</v>
      </c>
      <c r="B361" s="288" t="s">
        <v>580</v>
      </c>
      <c r="C361" s="243" t="s">
        <v>544</v>
      </c>
      <c r="D361" s="243"/>
      <c r="E361" s="243" t="s">
        <v>840</v>
      </c>
      <c r="F361" s="243"/>
      <c r="G361" s="243"/>
      <c r="H361" s="243" t="s">
        <v>878</v>
      </c>
      <c r="I361" s="248" t="s">
        <v>877</v>
      </c>
      <c r="J361" s="273">
        <v>86000</v>
      </c>
      <c r="K361" s="212">
        <v>33500</v>
      </c>
      <c r="L361" s="273">
        <v>52500</v>
      </c>
      <c r="M361" s="273"/>
      <c r="N361" s="273">
        <v>52500</v>
      </c>
      <c r="O361" s="212"/>
      <c r="P361" s="212">
        <f>L361+W361</f>
        <v>52500</v>
      </c>
      <c r="Q361" s="212">
        <f>M361+X361</f>
        <v>0</v>
      </c>
      <c r="R361" s="212">
        <f>S361</f>
        <v>30150</v>
      </c>
      <c r="S361" s="212">
        <f>K361*90%</f>
        <v>30150</v>
      </c>
      <c r="T361" s="212"/>
      <c r="U361" s="212"/>
      <c r="V361" s="212">
        <f>52500+6210</f>
        <v>58710</v>
      </c>
      <c r="W361" s="212"/>
      <c r="X361" s="212"/>
      <c r="Y361" s="212"/>
      <c r="Z361" s="212"/>
      <c r="AA361" s="212">
        <v>10000</v>
      </c>
      <c r="AB361" s="212">
        <v>10000</v>
      </c>
      <c r="AC361" s="212"/>
      <c r="AD361" s="212"/>
      <c r="AE361" s="273">
        <v>0</v>
      </c>
      <c r="AF361" s="273">
        <v>5209.8363479999998</v>
      </c>
      <c r="AG361" s="212">
        <f t="shared" ref="AG361:AG379" si="571">W361+AA361</f>
        <v>10000</v>
      </c>
      <c r="AH361" s="212">
        <f t="shared" ref="AH361:AH379" si="572">X361+AB361</f>
        <v>10000</v>
      </c>
      <c r="AI361" s="212"/>
      <c r="AJ361" s="212"/>
      <c r="AK361" s="212">
        <f t="shared" ref="AK361:AK404" si="573">AO361</f>
        <v>17000</v>
      </c>
      <c r="AL361" s="212">
        <f t="shared" ref="AL361:AL404" si="574">AP361</f>
        <v>17000</v>
      </c>
      <c r="AM361" s="212">
        <f t="shared" ref="AM361:AM404" si="575">AQ361</f>
        <v>0</v>
      </c>
      <c r="AN361" s="212">
        <f t="shared" ref="AN361:AN404" si="576">AR361</f>
        <v>0</v>
      </c>
      <c r="AO361" s="212">
        <f>AP361</f>
        <v>17000</v>
      </c>
      <c r="AP361" s="212">
        <v>17000</v>
      </c>
      <c r="AQ361" s="212"/>
      <c r="AR361" s="212">
        <v>0</v>
      </c>
      <c r="AS361" s="212">
        <f t="shared" ref="AS361:AS365" si="577">V361+AP361</f>
        <v>75710</v>
      </c>
      <c r="AT361" s="212">
        <f>AG361+AO361</f>
        <v>27000</v>
      </c>
      <c r="AU361" s="212">
        <f>AH361+AP361</f>
        <v>27000</v>
      </c>
      <c r="AV361" s="212">
        <f>AW361</f>
        <v>3150</v>
      </c>
      <c r="AW361" s="212">
        <f>S361-AU361</f>
        <v>3150</v>
      </c>
      <c r="AX361" s="212"/>
      <c r="AY361" s="212"/>
      <c r="AZ361" s="261" t="s">
        <v>1002</v>
      </c>
    </row>
    <row r="362" spans="1:53" s="533" customFormat="1" ht="36" customHeight="1">
      <c r="A362" s="501" t="s">
        <v>42</v>
      </c>
      <c r="B362" s="502" t="s">
        <v>45</v>
      </c>
      <c r="C362" s="534"/>
      <c r="D362" s="534"/>
      <c r="E362" s="534"/>
      <c r="F362" s="534"/>
      <c r="G362" s="534"/>
      <c r="H362" s="534"/>
      <c r="I362" s="503"/>
      <c r="J362" s="551">
        <f t="shared" ref="J362:AW362" si="578">J363+J364+J365+J366+J367+J368+J369</f>
        <v>89700</v>
      </c>
      <c r="K362" s="551">
        <f t="shared" si="578"/>
        <v>76100</v>
      </c>
      <c r="L362" s="551">
        <f t="shared" si="578"/>
        <v>0</v>
      </c>
      <c r="M362" s="551">
        <f t="shared" si="578"/>
        <v>0</v>
      </c>
      <c r="N362" s="551">
        <f t="shared" si="578"/>
        <v>0</v>
      </c>
      <c r="O362" s="551">
        <f t="shared" si="578"/>
        <v>0</v>
      </c>
      <c r="P362" s="551">
        <f t="shared" si="578"/>
        <v>13694</v>
      </c>
      <c r="Q362" s="551">
        <f t="shared" si="578"/>
        <v>13694</v>
      </c>
      <c r="R362" s="551">
        <f t="shared" si="578"/>
        <v>75600</v>
      </c>
      <c r="S362" s="551">
        <f t="shared" si="578"/>
        <v>72600</v>
      </c>
      <c r="T362" s="551">
        <f t="shared" si="578"/>
        <v>0</v>
      </c>
      <c r="U362" s="551">
        <f t="shared" si="578"/>
        <v>0</v>
      </c>
      <c r="V362" s="551">
        <f t="shared" si="578"/>
        <v>34639</v>
      </c>
      <c r="W362" s="551">
        <f t="shared" si="578"/>
        <v>13694</v>
      </c>
      <c r="X362" s="551">
        <f t="shared" si="578"/>
        <v>13694</v>
      </c>
      <c r="Y362" s="551">
        <f t="shared" si="578"/>
        <v>0</v>
      </c>
      <c r="Z362" s="551">
        <f t="shared" si="578"/>
        <v>0</v>
      </c>
      <c r="AA362" s="551">
        <f t="shared" si="578"/>
        <v>21095</v>
      </c>
      <c r="AB362" s="551">
        <f t="shared" si="578"/>
        <v>21095</v>
      </c>
      <c r="AC362" s="551">
        <f t="shared" si="578"/>
        <v>0</v>
      </c>
      <c r="AD362" s="551">
        <f t="shared" si="578"/>
        <v>0</v>
      </c>
      <c r="AE362" s="551">
        <f t="shared" si="578"/>
        <v>7663.3909999999996</v>
      </c>
      <c r="AF362" s="551">
        <f t="shared" si="578"/>
        <v>10713.391</v>
      </c>
      <c r="AG362" s="551">
        <f t="shared" si="578"/>
        <v>34789</v>
      </c>
      <c r="AH362" s="551">
        <f t="shared" si="578"/>
        <v>34789</v>
      </c>
      <c r="AI362" s="551">
        <f t="shared" si="578"/>
        <v>0</v>
      </c>
      <c r="AJ362" s="551">
        <f t="shared" si="578"/>
        <v>0</v>
      </c>
      <c r="AK362" s="551">
        <f t="shared" si="578"/>
        <v>22100</v>
      </c>
      <c r="AL362" s="551">
        <f t="shared" si="578"/>
        <v>22900</v>
      </c>
      <c r="AM362" s="551">
        <f t="shared" si="578"/>
        <v>0</v>
      </c>
      <c r="AN362" s="551">
        <f t="shared" si="578"/>
        <v>0</v>
      </c>
      <c r="AO362" s="551">
        <f t="shared" si="578"/>
        <v>23600</v>
      </c>
      <c r="AP362" s="551">
        <f t="shared" si="578"/>
        <v>23600</v>
      </c>
      <c r="AQ362" s="551">
        <f t="shared" si="578"/>
        <v>0</v>
      </c>
      <c r="AR362" s="551">
        <f t="shared" si="578"/>
        <v>0</v>
      </c>
      <c r="AS362" s="300">
        <f t="shared" si="578"/>
        <v>58299</v>
      </c>
      <c r="AT362" s="300">
        <f t="shared" si="578"/>
        <v>58389</v>
      </c>
      <c r="AU362" s="300">
        <f t="shared" si="578"/>
        <v>58389</v>
      </c>
      <c r="AV362" s="300">
        <f t="shared" si="578"/>
        <v>13950</v>
      </c>
      <c r="AW362" s="300">
        <f t="shared" si="578"/>
        <v>13950</v>
      </c>
      <c r="AX362" s="300">
        <f>AX363+AX364+AX365</f>
        <v>0</v>
      </c>
      <c r="AY362" s="300">
        <f>AY363+AY364+AY365</f>
        <v>0</v>
      </c>
      <c r="AZ362" s="505"/>
    </row>
    <row r="363" spans="1:53" ht="47.45" customHeight="1">
      <c r="A363" s="258">
        <v>1</v>
      </c>
      <c r="B363" s="259" t="s">
        <v>581</v>
      </c>
      <c r="C363" s="243" t="s">
        <v>544</v>
      </c>
      <c r="D363" s="243"/>
      <c r="E363" s="243" t="s">
        <v>831</v>
      </c>
      <c r="F363" s="243"/>
      <c r="G363" s="243"/>
      <c r="H363" s="243"/>
      <c r="I363" s="248" t="s">
        <v>582</v>
      </c>
      <c r="J363" s="212">
        <v>17000</v>
      </c>
      <c r="K363" s="212">
        <v>14000</v>
      </c>
      <c r="L363" s="212">
        <v>0</v>
      </c>
      <c r="M363" s="212">
        <v>0</v>
      </c>
      <c r="N363" s="212">
        <v>0</v>
      </c>
      <c r="O363" s="212">
        <v>0</v>
      </c>
      <c r="P363" s="212">
        <f t="shared" ref="P363:Q365" si="579">L363+W363</f>
        <v>3000</v>
      </c>
      <c r="Q363" s="212">
        <f t="shared" si="579"/>
        <v>3000</v>
      </c>
      <c r="R363" s="212">
        <v>17000</v>
      </c>
      <c r="S363" s="212">
        <v>14000</v>
      </c>
      <c r="T363" s="212">
        <v>0</v>
      </c>
      <c r="U363" s="212"/>
      <c r="V363" s="212">
        <f>3000+3000</f>
        <v>6000</v>
      </c>
      <c r="W363" s="212">
        <v>3000</v>
      </c>
      <c r="X363" s="212">
        <v>3000</v>
      </c>
      <c r="Y363" s="212"/>
      <c r="Z363" s="212"/>
      <c r="AA363" s="273">
        <v>3000</v>
      </c>
      <c r="AB363" s="273">
        <v>3000</v>
      </c>
      <c r="AC363" s="212"/>
      <c r="AD363" s="212"/>
      <c r="AE363" s="212"/>
      <c r="AF363" s="212"/>
      <c r="AG363" s="212">
        <f t="shared" si="571"/>
        <v>6000</v>
      </c>
      <c r="AH363" s="212">
        <f t="shared" si="572"/>
        <v>6000</v>
      </c>
      <c r="AI363" s="212"/>
      <c r="AJ363" s="212"/>
      <c r="AK363" s="212">
        <f>AL363</f>
        <v>8000</v>
      </c>
      <c r="AL363" s="212">
        <f>S363-AH363</f>
        <v>8000</v>
      </c>
      <c r="AM363" s="212">
        <f t="shared" si="575"/>
        <v>0</v>
      </c>
      <c r="AN363" s="212">
        <f t="shared" si="576"/>
        <v>0</v>
      </c>
      <c r="AO363" s="212">
        <f t="shared" ref="AO363:AO364" si="580">AP363</f>
        <v>7500</v>
      </c>
      <c r="AP363" s="212">
        <v>7500</v>
      </c>
      <c r="AQ363" s="212"/>
      <c r="AR363" s="212"/>
      <c r="AS363" s="212">
        <f t="shared" si="577"/>
        <v>13500</v>
      </c>
      <c r="AT363" s="212">
        <f t="shared" ref="AT363:AT365" si="581">AG363+AO363</f>
        <v>13500</v>
      </c>
      <c r="AU363" s="212">
        <f t="shared" ref="AU363:AU365" si="582">AH363+AP363</f>
        <v>13500</v>
      </c>
      <c r="AV363" s="212">
        <f t="shared" ref="AV363:AV365" si="583">AW363</f>
        <v>500</v>
      </c>
      <c r="AW363" s="212">
        <f t="shared" ref="AW363:AW365" si="584">S363-AU363</f>
        <v>500</v>
      </c>
      <c r="AX363" s="212"/>
      <c r="AY363" s="212"/>
      <c r="AZ363" s="261" t="s">
        <v>783</v>
      </c>
    </row>
    <row r="364" spans="1:53" ht="63" customHeight="1">
      <c r="A364" s="258">
        <v>2</v>
      </c>
      <c r="B364" s="269" t="s">
        <v>583</v>
      </c>
      <c r="C364" s="243" t="s">
        <v>544</v>
      </c>
      <c r="D364" s="243"/>
      <c r="E364" s="243" t="s">
        <v>832</v>
      </c>
      <c r="F364" s="243"/>
      <c r="G364" s="243"/>
      <c r="H364" s="243" t="s">
        <v>567</v>
      </c>
      <c r="I364" s="508" t="s">
        <v>796</v>
      </c>
      <c r="J364" s="212">
        <v>45600</v>
      </c>
      <c r="K364" s="212">
        <v>35000</v>
      </c>
      <c r="L364" s="212">
        <v>0</v>
      </c>
      <c r="M364" s="212">
        <v>0</v>
      </c>
      <c r="N364" s="212">
        <v>0</v>
      </c>
      <c r="O364" s="212">
        <v>0</v>
      </c>
      <c r="P364" s="212">
        <f t="shared" si="579"/>
        <v>10694</v>
      </c>
      <c r="Q364" s="212">
        <f t="shared" si="579"/>
        <v>10694</v>
      </c>
      <c r="R364" s="212">
        <f>S364</f>
        <v>31500</v>
      </c>
      <c r="S364" s="212">
        <v>31500</v>
      </c>
      <c r="T364" s="212">
        <v>0</v>
      </c>
      <c r="U364" s="212"/>
      <c r="V364" s="212">
        <f>10694+11945</f>
        <v>22639</v>
      </c>
      <c r="W364" s="212">
        <v>10694</v>
      </c>
      <c r="X364" s="212">
        <v>10694</v>
      </c>
      <c r="Y364" s="212"/>
      <c r="Z364" s="212"/>
      <c r="AA364" s="273">
        <v>11945</v>
      </c>
      <c r="AB364" s="273">
        <v>11945</v>
      </c>
      <c r="AC364" s="212"/>
      <c r="AD364" s="212"/>
      <c r="AE364" s="273">
        <v>7663.3909999999996</v>
      </c>
      <c r="AF364" s="273">
        <v>7663.3909999999996</v>
      </c>
      <c r="AG364" s="212">
        <f t="shared" si="571"/>
        <v>22639</v>
      </c>
      <c r="AH364" s="212">
        <f t="shared" si="572"/>
        <v>22639</v>
      </c>
      <c r="AI364" s="212"/>
      <c r="AJ364" s="212"/>
      <c r="AK364" s="212">
        <f t="shared" si="573"/>
        <v>6500</v>
      </c>
      <c r="AL364" s="212">
        <f t="shared" si="574"/>
        <v>6500</v>
      </c>
      <c r="AM364" s="212">
        <f t="shared" si="575"/>
        <v>0</v>
      </c>
      <c r="AN364" s="212">
        <f t="shared" si="576"/>
        <v>0</v>
      </c>
      <c r="AO364" s="212">
        <f t="shared" si="580"/>
        <v>6500</v>
      </c>
      <c r="AP364" s="212">
        <v>6500</v>
      </c>
      <c r="AQ364" s="212"/>
      <c r="AR364" s="212"/>
      <c r="AS364" s="212">
        <f t="shared" si="577"/>
        <v>29139</v>
      </c>
      <c r="AT364" s="212">
        <f t="shared" si="581"/>
        <v>29139</v>
      </c>
      <c r="AU364" s="212">
        <f t="shared" si="582"/>
        <v>29139</v>
      </c>
      <c r="AV364" s="212">
        <f t="shared" si="583"/>
        <v>2300</v>
      </c>
      <c r="AW364" s="212">
        <v>2300</v>
      </c>
      <c r="AX364" s="212"/>
      <c r="AY364" s="212"/>
      <c r="AZ364" s="261" t="s">
        <v>783</v>
      </c>
      <c r="BA364" s="201">
        <f>AW364</f>
        <v>2300</v>
      </c>
    </row>
    <row r="365" spans="1:53" ht="47.45" customHeight="1">
      <c r="A365" s="258">
        <v>3</v>
      </c>
      <c r="B365" s="288" t="s">
        <v>586</v>
      </c>
      <c r="C365" s="243" t="s">
        <v>544</v>
      </c>
      <c r="D365" s="243"/>
      <c r="E365" s="243" t="s">
        <v>833</v>
      </c>
      <c r="F365" s="243"/>
      <c r="G365" s="260"/>
      <c r="H365" s="243" t="s">
        <v>781</v>
      </c>
      <c r="I365" s="211" t="s">
        <v>587</v>
      </c>
      <c r="J365" s="212">
        <v>5000</v>
      </c>
      <c r="K365" s="212">
        <v>5000</v>
      </c>
      <c r="L365" s="212"/>
      <c r="M365" s="212"/>
      <c r="N365" s="212"/>
      <c r="O365" s="212"/>
      <c r="P365" s="212">
        <f t="shared" si="579"/>
        <v>0</v>
      </c>
      <c r="Q365" s="212">
        <f t="shared" si="579"/>
        <v>0</v>
      </c>
      <c r="R365" s="212">
        <f>S365</f>
        <v>5000</v>
      </c>
      <c r="S365" s="212">
        <v>5000</v>
      </c>
      <c r="T365" s="212">
        <v>0</v>
      </c>
      <c r="U365" s="212"/>
      <c r="V365" s="212">
        <v>2000</v>
      </c>
      <c r="W365" s="212"/>
      <c r="X365" s="212"/>
      <c r="Y365" s="212"/>
      <c r="Z365" s="212"/>
      <c r="AA365" s="273">
        <v>2000</v>
      </c>
      <c r="AB365" s="273">
        <v>2000</v>
      </c>
      <c r="AC365" s="212"/>
      <c r="AD365" s="212"/>
      <c r="AE365" s="273">
        <v>0</v>
      </c>
      <c r="AF365" s="273">
        <v>950</v>
      </c>
      <c r="AG365" s="212">
        <f t="shared" si="571"/>
        <v>2000</v>
      </c>
      <c r="AH365" s="212">
        <f t="shared" si="572"/>
        <v>2000</v>
      </c>
      <c r="AI365" s="212"/>
      <c r="AJ365" s="212"/>
      <c r="AK365" s="212">
        <f t="shared" si="573"/>
        <v>2500</v>
      </c>
      <c r="AL365" s="212">
        <f t="shared" si="574"/>
        <v>2500</v>
      </c>
      <c r="AM365" s="212">
        <f t="shared" si="575"/>
        <v>0</v>
      </c>
      <c r="AN365" s="212">
        <f t="shared" si="576"/>
        <v>0</v>
      </c>
      <c r="AO365" s="212">
        <f>AP365</f>
        <v>2500</v>
      </c>
      <c r="AP365" s="212">
        <v>2500</v>
      </c>
      <c r="AQ365" s="212"/>
      <c r="AR365" s="212"/>
      <c r="AS365" s="212">
        <f t="shared" si="577"/>
        <v>4500</v>
      </c>
      <c r="AT365" s="212">
        <f t="shared" si="581"/>
        <v>4500</v>
      </c>
      <c r="AU365" s="212">
        <f t="shared" si="582"/>
        <v>4500</v>
      </c>
      <c r="AV365" s="212">
        <f t="shared" si="583"/>
        <v>500</v>
      </c>
      <c r="AW365" s="212">
        <f t="shared" si="584"/>
        <v>500</v>
      </c>
      <c r="AX365" s="212"/>
      <c r="AY365" s="212"/>
      <c r="AZ365" s="261" t="s">
        <v>783</v>
      </c>
    </row>
    <row r="366" spans="1:53" ht="36.6" customHeight="1">
      <c r="A366" s="258">
        <v>4</v>
      </c>
      <c r="B366" s="267" t="s">
        <v>588</v>
      </c>
      <c r="C366" s="243" t="s">
        <v>544</v>
      </c>
      <c r="D366" s="243"/>
      <c r="E366" s="248" t="s">
        <v>830</v>
      </c>
      <c r="F366" s="243"/>
      <c r="G366" s="209"/>
      <c r="H366" s="268" t="s">
        <v>676</v>
      </c>
      <c r="I366" s="248" t="s">
        <v>589</v>
      </c>
      <c r="J366" s="212">
        <v>11000</v>
      </c>
      <c r="K366" s="212">
        <f>J366</f>
        <v>11000</v>
      </c>
      <c r="L366" s="212"/>
      <c r="M366" s="212"/>
      <c r="N366" s="212"/>
      <c r="O366" s="212"/>
      <c r="P366" s="212">
        <f t="shared" ref="P366:Q368" si="585">L366+W366</f>
        <v>0</v>
      </c>
      <c r="Q366" s="212">
        <f t="shared" si="585"/>
        <v>0</v>
      </c>
      <c r="R366" s="212">
        <f>S366</f>
        <v>11000</v>
      </c>
      <c r="S366" s="212">
        <v>11000</v>
      </c>
      <c r="T366" s="212"/>
      <c r="U366" s="212"/>
      <c r="V366" s="212">
        <v>4000</v>
      </c>
      <c r="W366" s="212"/>
      <c r="X366" s="212"/>
      <c r="Y366" s="212"/>
      <c r="Z366" s="212"/>
      <c r="AA366" s="273">
        <v>4000</v>
      </c>
      <c r="AB366" s="273">
        <f>AA366</f>
        <v>4000</v>
      </c>
      <c r="AC366" s="212"/>
      <c r="AD366" s="212"/>
      <c r="AE366" s="212"/>
      <c r="AF366" s="212">
        <v>2100</v>
      </c>
      <c r="AG366" s="212">
        <f t="shared" ref="AG366:AH368" si="586">W366+AA366</f>
        <v>4000</v>
      </c>
      <c r="AH366" s="212">
        <f t="shared" si="586"/>
        <v>4000</v>
      </c>
      <c r="AI366" s="212"/>
      <c r="AJ366" s="212"/>
      <c r="AK366" s="212">
        <f>AO366</f>
        <v>2000</v>
      </c>
      <c r="AL366" s="212">
        <f>AP366</f>
        <v>2000</v>
      </c>
      <c r="AM366" s="212">
        <f>AQ366</f>
        <v>0</v>
      </c>
      <c r="AN366" s="212">
        <f>AR366</f>
        <v>0</v>
      </c>
      <c r="AO366" s="212">
        <f>AP366</f>
        <v>2000</v>
      </c>
      <c r="AP366" s="212">
        <v>2000</v>
      </c>
      <c r="AQ366" s="212"/>
      <c r="AR366" s="212"/>
      <c r="AS366" s="212">
        <f>V366+AP366</f>
        <v>6000</v>
      </c>
      <c r="AT366" s="212">
        <f t="shared" ref="AT366:AU369" si="587">AG366+AO366</f>
        <v>6000</v>
      </c>
      <c r="AU366" s="212">
        <f t="shared" si="587"/>
        <v>6000</v>
      </c>
      <c r="AV366" s="212">
        <f>AW366</f>
        <v>4800</v>
      </c>
      <c r="AW366" s="212">
        <v>4800</v>
      </c>
      <c r="AX366" s="212"/>
      <c r="AY366" s="212"/>
      <c r="AZ366" s="261" t="s">
        <v>783</v>
      </c>
    </row>
    <row r="367" spans="1:53" ht="44.45" customHeight="1">
      <c r="A367" s="209">
        <v>5</v>
      </c>
      <c r="B367" s="271" t="s">
        <v>596</v>
      </c>
      <c r="C367" s="260" t="s">
        <v>544</v>
      </c>
      <c r="D367" s="260"/>
      <c r="E367" s="260" t="s">
        <v>838</v>
      </c>
      <c r="F367" s="260"/>
      <c r="G367" s="260" t="s">
        <v>311</v>
      </c>
      <c r="H367" s="243"/>
      <c r="I367" s="509" t="s">
        <v>678</v>
      </c>
      <c r="J367" s="489">
        <f>K367</f>
        <v>3500</v>
      </c>
      <c r="K367" s="489">
        <v>3500</v>
      </c>
      <c r="L367" s="212"/>
      <c r="M367" s="212"/>
      <c r="N367" s="212"/>
      <c r="O367" s="212"/>
      <c r="P367" s="212">
        <f t="shared" si="585"/>
        <v>0</v>
      </c>
      <c r="Q367" s="212">
        <f t="shared" si="585"/>
        <v>0</v>
      </c>
      <c r="R367" s="212">
        <v>3500</v>
      </c>
      <c r="S367" s="212">
        <v>3500</v>
      </c>
      <c r="T367" s="212"/>
      <c r="U367" s="212"/>
      <c r="V367" s="212"/>
      <c r="W367" s="212"/>
      <c r="X367" s="212"/>
      <c r="Y367" s="212"/>
      <c r="Z367" s="212"/>
      <c r="AA367" s="212">
        <v>60</v>
      </c>
      <c r="AB367" s="212">
        <v>60</v>
      </c>
      <c r="AC367" s="212"/>
      <c r="AD367" s="212"/>
      <c r="AE367" s="212"/>
      <c r="AF367" s="212"/>
      <c r="AG367" s="212">
        <f t="shared" si="586"/>
        <v>60</v>
      </c>
      <c r="AH367" s="212">
        <f t="shared" si="586"/>
        <v>60</v>
      </c>
      <c r="AI367" s="212"/>
      <c r="AJ367" s="212"/>
      <c r="AK367" s="212">
        <f>AO367</f>
        <v>1700</v>
      </c>
      <c r="AL367" s="212">
        <v>2500</v>
      </c>
      <c r="AM367" s="212">
        <f>AQ367</f>
        <v>0</v>
      </c>
      <c r="AN367" s="212"/>
      <c r="AO367" s="212">
        <f>AP367</f>
        <v>1700</v>
      </c>
      <c r="AP367" s="212">
        <v>1700</v>
      </c>
      <c r="AQ367" s="212"/>
      <c r="AR367" s="212"/>
      <c r="AS367" s="212">
        <v>1760</v>
      </c>
      <c r="AT367" s="212">
        <f t="shared" si="587"/>
        <v>1760</v>
      </c>
      <c r="AU367" s="212">
        <f t="shared" si="587"/>
        <v>1760</v>
      </c>
      <c r="AV367" s="212">
        <f>AW367</f>
        <v>1740</v>
      </c>
      <c r="AW367" s="212">
        <f>S367-AU367</f>
        <v>1740</v>
      </c>
      <c r="AX367" s="212"/>
      <c r="AY367" s="212"/>
      <c r="AZ367" s="261" t="s">
        <v>783</v>
      </c>
    </row>
    <row r="368" spans="1:53" ht="52.5" customHeight="1">
      <c r="A368" s="209">
        <v>6</v>
      </c>
      <c r="B368" s="271" t="s">
        <v>597</v>
      </c>
      <c r="C368" s="260" t="s">
        <v>544</v>
      </c>
      <c r="D368" s="260"/>
      <c r="E368" s="248" t="s">
        <v>839</v>
      </c>
      <c r="F368" s="260"/>
      <c r="G368" s="339"/>
      <c r="H368" s="243" t="s">
        <v>367</v>
      </c>
      <c r="I368" s="509" t="s">
        <v>677</v>
      </c>
      <c r="J368" s="489">
        <f>K368</f>
        <v>4600</v>
      </c>
      <c r="K368" s="489">
        <v>4600</v>
      </c>
      <c r="L368" s="212"/>
      <c r="M368" s="212"/>
      <c r="N368" s="212"/>
      <c r="O368" s="212"/>
      <c r="P368" s="212">
        <f t="shared" si="585"/>
        <v>0</v>
      </c>
      <c r="Q368" s="212">
        <f t="shared" si="585"/>
        <v>0</v>
      </c>
      <c r="R368" s="212">
        <f>S368</f>
        <v>4600</v>
      </c>
      <c r="S368" s="212">
        <v>4600</v>
      </c>
      <c r="T368" s="212"/>
      <c r="U368" s="212"/>
      <c r="V368" s="212"/>
      <c r="W368" s="212"/>
      <c r="X368" s="212"/>
      <c r="Y368" s="212"/>
      <c r="Z368" s="212"/>
      <c r="AA368" s="212">
        <v>90</v>
      </c>
      <c r="AB368" s="212">
        <v>90</v>
      </c>
      <c r="AC368" s="212"/>
      <c r="AD368" s="212"/>
      <c r="AE368" s="212"/>
      <c r="AF368" s="212"/>
      <c r="AG368" s="212">
        <f t="shared" si="586"/>
        <v>90</v>
      </c>
      <c r="AH368" s="212">
        <f t="shared" si="586"/>
        <v>90</v>
      </c>
      <c r="AI368" s="212"/>
      <c r="AJ368" s="212"/>
      <c r="AK368" s="212">
        <f>AO368</f>
        <v>1400</v>
      </c>
      <c r="AL368" s="212">
        <f>AP368</f>
        <v>1400</v>
      </c>
      <c r="AM368" s="212">
        <f>AQ368</f>
        <v>0</v>
      </c>
      <c r="AN368" s="212"/>
      <c r="AO368" s="212">
        <f>AP368</f>
        <v>1400</v>
      </c>
      <c r="AP368" s="212">
        <v>1400</v>
      </c>
      <c r="AQ368" s="212"/>
      <c r="AR368" s="212"/>
      <c r="AS368" s="212">
        <v>1400</v>
      </c>
      <c r="AT368" s="212">
        <f t="shared" si="587"/>
        <v>1490</v>
      </c>
      <c r="AU368" s="212">
        <f t="shared" si="587"/>
        <v>1490</v>
      </c>
      <c r="AV368" s="212">
        <f>AW368</f>
        <v>3110</v>
      </c>
      <c r="AW368" s="212">
        <f>S368-AU368</f>
        <v>3110</v>
      </c>
      <c r="AX368" s="212"/>
      <c r="AY368" s="212"/>
      <c r="AZ368" s="261" t="s">
        <v>783</v>
      </c>
    </row>
    <row r="369" spans="1:53" ht="50.45" customHeight="1">
      <c r="A369" s="209">
        <v>10</v>
      </c>
      <c r="B369" s="288" t="s">
        <v>874</v>
      </c>
      <c r="C369" s="243" t="s">
        <v>544</v>
      </c>
      <c r="D369" s="243"/>
      <c r="E369" s="243" t="s">
        <v>834</v>
      </c>
      <c r="F369" s="243"/>
      <c r="G369" s="260"/>
      <c r="H369" s="303" t="s">
        <v>676</v>
      </c>
      <c r="I369" s="509" t="s">
        <v>873</v>
      </c>
      <c r="J369" s="212">
        <f>K369</f>
        <v>3000</v>
      </c>
      <c r="K369" s="212">
        <v>3000</v>
      </c>
      <c r="L369" s="212"/>
      <c r="M369" s="212"/>
      <c r="N369" s="212"/>
      <c r="O369" s="212"/>
      <c r="P369" s="212"/>
      <c r="Q369" s="212"/>
      <c r="R369" s="212">
        <f>S369</f>
        <v>3000</v>
      </c>
      <c r="S369" s="212">
        <v>3000</v>
      </c>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f>AP369</f>
        <v>2000</v>
      </c>
      <c r="AP369" s="212">
        <v>2000</v>
      </c>
      <c r="AQ369" s="212"/>
      <c r="AR369" s="212"/>
      <c r="AS369" s="212">
        <v>2000</v>
      </c>
      <c r="AT369" s="212">
        <f t="shared" si="587"/>
        <v>2000</v>
      </c>
      <c r="AU369" s="212">
        <f t="shared" si="587"/>
        <v>2000</v>
      </c>
      <c r="AV369" s="212">
        <f>AW369</f>
        <v>1000</v>
      </c>
      <c r="AW369" s="212">
        <f>S369-AU369</f>
        <v>1000</v>
      </c>
      <c r="AX369" s="212"/>
      <c r="AY369" s="212"/>
      <c r="AZ369" s="261" t="s">
        <v>783</v>
      </c>
    </row>
    <row r="370" spans="1:53" s="232" customFormat="1" ht="30.6" customHeight="1">
      <c r="A370" s="356" t="s">
        <v>278</v>
      </c>
      <c r="B370" s="540" t="s">
        <v>895</v>
      </c>
      <c r="C370" s="337"/>
      <c r="D370" s="337"/>
      <c r="E370" s="337"/>
      <c r="F370" s="337"/>
      <c r="G370" s="337"/>
      <c r="H370" s="337"/>
      <c r="I370" s="636"/>
      <c r="J370" s="355">
        <f t="shared" ref="J370:AH370" si="588">J371+J375</f>
        <v>1161129</v>
      </c>
      <c r="K370" s="355">
        <f t="shared" si="588"/>
        <v>316253</v>
      </c>
      <c r="L370" s="355">
        <f t="shared" si="588"/>
        <v>84392</v>
      </c>
      <c r="M370" s="355">
        <f t="shared" si="588"/>
        <v>13850</v>
      </c>
      <c r="N370" s="355">
        <f t="shared" si="588"/>
        <v>84392</v>
      </c>
      <c r="O370" s="355">
        <f t="shared" si="588"/>
        <v>38850</v>
      </c>
      <c r="P370" s="355">
        <f t="shared" si="588"/>
        <v>142450</v>
      </c>
      <c r="Q370" s="355">
        <f t="shared" si="588"/>
        <v>51908</v>
      </c>
      <c r="R370" s="355">
        <f t="shared" si="588"/>
        <v>366921.5</v>
      </c>
      <c r="S370" s="355">
        <f t="shared" si="588"/>
        <v>200886.6</v>
      </c>
      <c r="T370" s="355">
        <f t="shared" si="588"/>
        <v>0</v>
      </c>
      <c r="U370" s="355">
        <f t="shared" si="588"/>
        <v>1850</v>
      </c>
      <c r="V370" s="355">
        <f t="shared" si="588"/>
        <v>196221</v>
      </c>
      <c r="W370" s="355">
        <f t="shared" si="588"/>
        <v>58058</v>
      </c>
      <c r="X370" s="355">
        <f t="shared" si="588"/>
        <v>38058</v>
      </c>
      <c r="Y370" s="355">
        <f t="shared" si="588"/>
        <v>0</v>
      </c>
      <c r="Z370" s="355">
        <f t="shared" si="588"/>
        <v>1850</v>
      </c>
      <c r="AA370" s="355">
        <f t="shared" si="588"/>
        <v>54778</v>
      </c>
      <c r="AB370" s="355">
        <f t="shared" si="588"/>
        <v>39161</v>
      </c>
      <c r="AC370" s="355">
        <f t="shared" si="588"/>
        <v>1000</v>
      </c>
      <c r="AD370" s="355">
        <f t="shared" si="588"/>
        <v>0</v>
      </c>
      <c r="AE370" s="355">
        <f t="shared" si="588"/>
        <v>22436.265262999998</v>
      </c>
      <c r="AF370" s="355">
        <f t="shared" si="588"/>
        <v>32589.265263000001</v>
      </c>
      <c r="AG370" s="355">
        <f t="shared" si="588"/>
        <v>112836</v>
      </c>
      <c r="AH370" s="355">
        <f t="shared" si="588"/>
        <v>77219</v>
      </c>
      <c r="AI370" s="355"/>
      <c r="AJ370" s="355"/>
      <c r="AK370" s="355">
        <f t="shared" ref="AK370:AY370" si="589">AK371+AK375</f>
        <v>68317</v>
      </c>
      <c r="AL370" s="355">
        <f t="shared" si="589"/>
        <v>39700</v>
      </c>
      <c r="AM370" s="355">
        <f t="shared" si="589"/>
        <v>0</v>
      </c>
      <c r="AN370" s="355">
        <f t="shared" si="589"/>
        <v>0</v>
      </c>
      <c r="AO370" s="355">
        <f t="shared" si="589"/>
        <v>70317</v>
      </c>
      <c r="AP370" s="355">
        <f t="shared" si="589"/>
        <v>41700</v>
      </c>
      <c r="AQ370" s="355">
        <f t="shared" si="589"/>
        <v>0</v>
      </c>
      <c r="AR370" s="355">
        <f t="shared" si="589"/>
        <v>0</v>
      </c>
      <c r="AS370" s="215">
        <f t="shared" si="589"/>
        <v>229311</v>
      </c>
      <c r="AT370" s="215">
        <f t="shared" si="589"/>
        <v>184153</v>
      </c>
      <c r="AU370" s="215">
        <f t="shared" si="589"/>
        <v>118919</v>
      </c>
      <c r="AV370" s="215">
        <f t="shared" si="589"/>
        <v>96660</v>
      </c>
      <c r="AW370" s="215">
        <f t="shared" si="589"/>
        <v>60450</v>
      </c>
      <c r="AX370" s="215">
        <f t="shared" si="589"/>
        <v>0</v>
      </c>
      <c r="AY370" s="215">
        <f t="shared" si="589"/>
        <v>0</v>
      </c>
      <c r="AZ370" s="286"/>
    </row>
    <row r="371" spans="1:53" s="533" customFormat="1" ht="27" customHeight="1">
      <c r="A371" s="275" t="s">
        <v>35</v>
      </c>
      <c r="B371" s="236" t="s">
        <v>43</v>
      </c>
      <c r="C371" s="229"/>
      <c r="D371" s="229"/>
      <c r="E371" s="229"/>
      <c r="F371" s="229"/>
      <c r="G371" s="255"/>
      <c r="H371" s="255"/>
      <c r="I371" s="217"/>
      <c r="J371" s="215">
        <f>J372+J373+J374</f>
        <v>1025125</v>
      </c>
      <c r="K371" s="215">
        <f t="shared" ref="K371:AR371" si="590">K372+K373+K374</f>
        <v>205461</v>
      </c>
      <c r="L371" s="215">
        <f t="shared" si="590"/>
        <v>52385</v>
      </c>
      <c r="M371" s="215">
        <f t="shared" si="590"/>
        <v>7000</v>
      </c>
      <c r="N371" s="215">
        <f t="shared" si="590"/>
        <v>52385</v>
      </c>
      <c r="O371" s="215">
        <f t="shared" si="590"/>
        <v>32000</v>
      </c>
      <c r="P371" s="215">
        <f t="shared" si="590"/>
        <v>105663</v>
      </c>
      <c r="Q371" s="215">
        <f t="shared" si="590"/>
        <v>40278</v>
      </c>
      <c r="R371" s="215">
        <f t="shared" si="590"/>
        <v>275149.5</v>
      </c>
      <c r="S371" s="215">
        <f t="shared" si="590"/>
        <v>117731.6</v>
      </c>
      <c r="T371" s="215">
        <f t="shared" si="590"/>
        <v>0</v>
      </c>
      <c r="U371" s="215">
        <f t="shared" si="590"/>
        <v>0</v>
      </c>
      <c r="V371" s="215">
        <f t="shared" si="590"/>
        <v>151663</v>
      </c>
      <c r="W371" s="215">
        <f t="shared" si="590"/>
        <v>53278</v>
      </c>
      <c r="X371" s="215">
        <f t="shared" si="590"/>
        <v>33278</v>
      </c>
      <c r="Y371" s="215">
        <f t="shared" si="590"/>
        <v>0</v>
      </c>
      <c r="Z371" s="215">
        <f t="shared" si="590"/>
        <v>0</v>
      </c>
      <c r="AA371" s="215">
        <f t="shared" si="590"/>
        <v>45000</v>
      </c>
      <c r="AB371" s="215">
        <f t="shared" si="590"/>
        <v>31000</v>
      </c>
      <c r="AC371" s="215">
        <f t="shared" si="590"/>
        <v>1000</v>
      </c>
      <c r="AD371" s="215">
        <f t="shared" si="590"/>
        <v>0</v>
      </c>
      <c r="AE371" s="215">
        <f t="shared" si="590"/>
        <v>19359.887999999999</v>
      </c>
      <c r="AF371" s="215">
        <f t="shared" si="590"/>
        <v>26512.887999999999</v>
      </c>
      <c r="AG371" s="215">
        <f t="shared" si="590"/>
        <v>98278</v>
      </c>
      <c r="AH371" s="215">
        <f t="shared" si="590"/>
        <v>64278</v>
      </c>
      <c r="AI371" s="215">
        <f t="shared" si="590"/>
        <v>0</v>
      </c>
      <c r="AJ371" s="215">
        <f t="shared" si="590"/>
        <v>0</v>
      </c>
      <c r="AK371" s="215">
        <f t="shared" si="590"/>
        <v>44000</v>
      </c>
      <c r="AL371" s="215">
        <f t="shared" si="590"/>
        <v>17000</v>
      </c>
      <c r="AM371" s="215">
        <f t="shared" si="590"/>
        <v>0</v>
      </c>
      <c r="AN371" s="215">
        <f t="shared" si="590"/>
        <v>0</v>
      </c>
      <c r="AO371" s="215">
        <f t="shared" si="590"/>
        <v>44000</v>
      </c>
      <c r="AP371" s="215">
        <f>AP372+AP373+AP374</f>
        <v>17000</v>
      </c>
      <c r="AQ371" s="215">
        <f t="shared" si="590"/>
        <v>0</v>
      </c>
      <c r="AR371" s="215">
        <f t="shared" si="590"/>
        <v>0</v>
      </c>
      <c r="AS371" s="215">
        <f t="shared" ref="AS371:AY371" si="591">AS372+AS373+AS374</f>
        <v>159663</v>
      </c>
      <c r="AT371" s="215">
        <f t="shared" si="591"/>
        <v>143278</v>
      </c>
      <c r="AU371" s="215">
        <f t="shared" si="591"/>
        <v>81278</v>
      </c>
      <c r="AV371" s="215">
        <f t="shared" si="591"/>
        <v>55410</v>
      </c>
      <c r="AW371" s="215">
        <f>AW372+AW373+AW374</f>
        <v>19200</v>
      </c>
      <c r="AX371" s="215">
        <f t="shared" si="591"/>
        <v>0</v>
      </c>
      <c r="AY371" s="215">
        <f t="shared" si="591"/>
        <v>0</v>
      </c>
      <c r="AZ371" s="265"/>
    </row>
    <row r="372" spans="1:53" ht="37.5" customHeight="1">
      <c r="A372" s="258">
        <v>1</v>
      </c>
      <c r="B372" s="267" t="s">
        <v>584</v>
      </c>
      <c r="C372" s="243" t="s">
        <v>544</v>
      </c>
      <c r="D372" s="243"/>
      <c r="E372" s="243" t="s">
        <v>834</v>
      </c>
      <c r="F372" s="243"/>
      <c r="G372" s="284"/>
      <c r="H372" s="243" t="s">
        <v>293</v>
      </c>
      <c r="I372" s="248" t="s">
        <v>585</v>
      </c>
      <c r="J372" s="212">
        <v>62315</v>
      </c>
      <c r="K372" s="212">
        <v>18694</v>
      </c>
      <c r="L372" s="212"/>
      <c r="M372" s="212"/>
      <c r="N372" s="212"/>
      <c r="O372" s="212"/>
      <c r="P372" s="212">
        <f>L372+W372</f>
        <v>0</v>
      </c>
      <c r="Q372" s="212">
        <f>M372+X372</f>
        <v>0</v>
      </c>
      <c r="R372" s="212">
        <v>56083.5</v>
      </c>
      <c r="S372" s="212">
        <v>16824.599999999999</v>
      </c>
      <c r="T372" s="212"/>
      <c r="U372" s="212"/>
      <c r="V372" s="212">
        <v>12000</v>
      </c>
      <c r="W372" s="212"/>
      <c r="X372" s="212"/>
      <c r="Y372" s="212"/>
      <c r="Z372" s="212"/>
      <c r="AA372" s="212">
        <v>12000</v>
      </c>
      <c r="AB372" s="212">
        <v>12000</v>
      </c>
      <c r="AC372" s="212">
        <v>1000</v>
      </c>
      <c r="AD372" s="212"/>
      <c r="AE372" s="273">
        <v>10965.888000000001</v>
      </c>
      <c r="AF372" s="273">
        <v>10965.888000000001</v>
      </c>
      <c r="AG372" s="212">
        <f>W372+AA372</f>
        <v>12000</v>
      </c>
      <c r="AH372" s="212">
        <f>X372+AB372</f>
        <v>12000</v>
      </c>
      <c r="AI372" s="212"/>
      <c r="AJ372" s="212"/>
      <c r="AK372" s="212">
        <f t="shared" ref="AK372:AN374" si="592">AO372</f>
        <v>15000</v>
      </c>
      <c r="AL372" s="212">
        <f t="shared" si="592"/>
        <v>2000</v>
      </c>
      <c r="AM372" s="212">
        <f t="shared" si="592"/>
        <v>0</v>
      </c>
      <c r="AN372" s="212">
        <f t="shared" si="592"/>
        <v>0</v>
      </c>
      <c r="AO372" s="212">
        <f>AP372+13000</f>
        <v>15000</v>
      </c>
      <c r="AP372" s="212">
        <v>2000</v>
      </c>
      <c r="AQ372" s="212"/>
      <c r="AR372" s="212"/>
      <c r="AS372" s="212">
        <f t="shared" ref="AS372:AS376" si="593">V372+AP372</f>
        <v>14000</v>
      </c>
      <c r="AT372" s="212">
        <f t="shared" ref="AT372" si="594">AG372+AO372</f>
        <v>27000</v>
      </c>
      <c r="AU372" s="212">
        <f t="shared" ref="AU372" si="595">AH372+AP372</f>
        <v>14000</v>
      </c>
      <c r="AV372" s="212">
        <f>AW372+17630</f>
        <v>20430</v>
      </c>
      <c r="AW372" s="212">
        <v>2800</v>
      </c>
      <c r="AX372" s="212"/>
      <c r="AY372" s="212"/>
      <c r="AZ372" s="261" t="s">
        <v>872</v>
      </c>
    </row>
    <row r="373" spans="1:53" ht="50.45" customHeight="1">
      <c r="A373" s="282" t="s">
        <v>39</v>
      </c>
      <c r="B373" s="308" t="s">
        <v>577</v>
      </c>
      <c r="C373" s="243" t="s">
        <v>544</v>
      </c>
      <c r="D373" s="243"/>
      <c r="E373" s="243" t="s">
        <v>815</v>
      </c>
      <c r="F373" s="243"/>
      <c r="G373" s="243"/>
      <c r="H373" s="243"/>
      <c r="I373" s="248" t="s">
        <v>578</v>
      </c>
      <c r="J373" s="212">
        <v>841000</v>
      </c>
      <c r="K373" s="212">
        <v>126150</v>
      </c>
      <c r="L373" s="212">
        <v>28000</v>
      </c>
      <c r="M373" s="212">
        <v>3000</v>
      </c>
      <c r="N373" s="212">
        <v>28000</v>
      </c>
      <c r="O373" s="212">
        <v>28000</v>
      </c>
      <c r="P373" s="212">
        <f>L373+W373</f>
        <v>58000</v>
      </c>
      <c r="Q373" s="212">
        <f>M373+X373</f>
        <v>13000</v>
      </c>
      <c r="R373" s="212">
        <v>168159</v>
      </c>
      <c r="S373" s="212">
        <v>50000</v>
      </c>
      <c r="T373" s="212"/>
      <c r="U373" s="212"/>
      <c r="V373" s="212">
        <v>83000</v>
      </c>
      <c r="W373" s="212">
        <v>30000</v>
      </c>
      <c r="X373" s="212">
        <v>10000</v>
      </c>
      <c r="Y373" s="212"/>
      <c r="Z373" s="212"/>
      <c r="AA373" s="273">
        <v>24000</v>
      </c>
      <c r="AB373" s="273">
        <v>10000</v>
      </c>
      <c r="AC373" s="212"/>
      <c r="AD373" s="212"/>
      <c r="AE373" s="273">
        <v>4614</v>
      </c>
      <c r="AF373" s="273">
        <v>6667</v>
      </c>
      <c r="AG373" s="212">
        <f>W373+AA373</f>
        <v>54000</v>
      </c>
      <c r="AH373" s="212">
        <f>X373+AB373</f>
        <v>20000</v>
      </c>
      <c r="AI373" s="212"/>
      <c r="AJ373" s="212"/>
      <c r="AK373" s="212">
        <f t="shared" si="592"/>
        <v>23000</v>
      </c>
      <c r="AL373" s="212">
        <f t="shared" si="592"/>
        <v>9000</v>
      </c>
      <c r="AM373" s="212">
        <f t="shared" si="592"/>
        <v>0</v>
      </c>
      <c r="AN373" s="212">
        <f t="shared" si="592"/>
        <v>0</v>
      </c>
      <c r="AO373" s="212">
        <f>AP373+14000</f>
        <v>23000</v>
      </c>
      <c r="AP373" s="212">
        <v>9000</v>
      </c>
      <c r="AQ373" s="212"/>
      <c r="AR373" s="212"/>
      <c r="AS373" s="212">
        <v>83000</v>
      </c>
      <c r="AT373" s="212">
        <v>78000</v>
      </c>
      <c r="AU373" s="212">
        <f t="shared" ref="AU373:AU374" si="596">AH373+AP373</f>
        <v>29000</v>
      </c>
      <c r="AV373" s="212">
        <f>AW373+18580</f>
        <v>27580</v>
      </c>
      <c r="AW373" s="212">
        <v>9000</v>
      </c>
      <c r="AX373" s="212"/>
      <c r="AY373" s="212"/>
      <c r="AZ373" s="261" t="s">
        <v>579</v>
      </c>
    </row>
    <row r="374" spans="1:53" ht="44.1" customHeight="1">
      <c r="A374" s="282" t="s">
        <v>77</v>
      </c>
      <c r="B374" s="289" t="s">
        <v>575</v>
      </c>
      <c r="C374" s="243" t="s">
        <v>544</v>
      </c>
      <c r="D374" s="243"/>
      <c r="E374" s="243" t="s">
        <v>857</v>
      </c>
      <c r="F374" s="243"/>
      <c r="G374" s="243"/>
      <c r="H374" s="243"/>
      <c r="I374" s="248" t="s">
        <v>855</v>
      </c>
      <c r="J374" s="212">
        <v>121810</v>
      </c>
      <c r="K374" s="212">
        <v>60617</v>
      </c>
      <c r="L374" s="212">
        <v>24385</v>
      </c>
      <c r="M374" s="212">
        <v>4000</v>
      </c>
      <c r="N374" s="212">
        <v>24385</v>
      </c>
      <c r="O374" s="212">
        <v>4000</v>
      </c>
      <c r="P374" s="212">
        <f t="shared" ref="P374:Q374" si="597">L374+W374</f>
        <v>47663</v>
      </c>
      <c r="Q374" s="212">
        <f t="shared" si="597"/>
        <v>27278</v>
      </c>
      <c r="R374" s="212">
        <f>+S374</f>
        <v>50907</v>
      </c>
      <c r="S374" s="212">
        <v>50907</v>
      </c>
      <c r="T374" s="212"/>
      <c r="U374" s="212"/>
      <c r="V374" s="212">
        <f>24385+23278+9000</f>
        <v>56663</v>
      </c>
      <c r="W374" s="212">
        <v>23278</v>
      </c>
      <c r="X374" s="212">
        <v>23278</v>
      </c>
      <c r="Y374" s="212"/>
      <c r="Z374" s="212"/>
      <c r="AA374" s="273">
        <v>9000</v>
      </c>
      <c r="AB374" s="273">
        <v>9000</v>
      </c>
      <c r="AC374" s="212"/>
      <c r="AD374" s="212"/>
      <c r="AE374" s="566">
        <v>3780</v>
      </c>
      <c r="AF374" s="566">
        <v>8880</v>
      </c>
      <c r="AG374" s="212">
        <f t="shared" ref="AG374:AH374" si="598">W374+AA374</f>
        <v>32278</v>
      </c>
      <c r="AH374" s="212">
        <f t="shared" si="598"/>
        <v>32278</v>
      </c>
      <c r="AI374" s="215"/>
      <c r="AJ374" s="215"/>
      <c r="AK374" s="215">
        <f t="shared" si="592"/>
        <v>6000</v>
      </c>
      <c r="AL374" s="215">
        <f t="shared" si="592"/>
        <v>6000</v>
      </c>
      <c r="AM374" s="215">
        <f t="shared" si="592"/>
        <v>0</v>
      </c>
      <c r="AN374" s="215">
        <f t="shared" si="592"/>
        <v>0</v>
      </c>
      <c r="AO374" s="212">
        <f>AP374</f>
        <v>6000</v>
      </c>
      <c r="AP374" s="273">
        <v>6000</v>
      </c>
      <c r="AQ374" s="212"/>
      <c r="AR374" s="212"/>
      <c r="AS374" s="212">
        <f t="shared" si="593"/>
        <v>62663</v>
      </c>
      <c r="AT374" s="212">
        <f t="shared" ref="AT374" si="599">AG374+AO374</f>
        <v>38278</v>
      </c>
      <c r="AU374" s="212">
        <f t="shared" si="596"/>
        <v>38278</v>
      </c>
      <c r="AV374" s="212">
        <f t="shared" ref="AV374:AV376" si="600">AW374</f>
        <v>7400</v>
      </c>
      <c r="AW374" s="212">
        <v>7400</v>
      </c>
      <c r="AX374" s="212"/>
      <c r="AY374" s="212"/>
      <c r="AZ374" s="261" t="s">
        <v>783</v>
      </c>
      <c r="BA374" s="201">
        <f>AW374</f>
        <v>7400</v>
      </c>
    </row>
    <row r="375" spans="1:53" s="533" customFormat="1" ht="29.45" customHeight="1">
      <c r="A375" s="501" t="s">
        <v>42</v>
      </c>
      <c r="B375" s="502" t="s">
        <v>629</v>
      </c>
      <c r="C375" s="534"/>
      <c r="D375" s="534"/>
      <c r="E375" s="534"/>
      <c r="F375" s="534"/>
      <c r="G375" s="556"/>
      <c r="H375" s="534"/>
      <c r="I375" s="503"/>
      <c r="J375" s="504">
        <f>SUM(J376:J381)</f>
        <v>136004</v>
      </c>
      <c r="K375" s="504">
        <f t="shared" ref="K375:AY375" si="601">SUM(K376:K381)</f>
        <v>110792</v>
      </c>
      <c r="L375" s="504">
        <f t="shared" si="601"/>
        <v>32007</v>
      </c>
      <c r="M375" s="504">
        <f t="shared" si="601"/>
        <v>6850</v>
      </c>
      <c r="N375" s="504">
        <f t="shared" si="601"/>
        <v>32007</v>
      </c>
      <c r="O375" s="504">
        <f t="shared" si="601"/>
        <v>6850</v>
      </c>
      <c r="P375" s="504">
        <f t="shared" si="601"/>
        <v>36787</v>
      </c>
      <c r="Q375" s="504">
        <f t="shared" si="601"/>
        <v>11630</v>
      </c>
      <c r="R375" s="504">
        <f t="shared" si="601"/>
        <v>91772</v>
      </c>
      <c r="S375" s="504">
        <f t="shared" si="601"/>
        <v>83155</v>
      </c>
      <c r="T375" s="504">
        <f t="shared" si="601"/>
        <v>0</v>
      </c>
      <c r="U375" s="504">
        <f t="shared" si="601"/>
        <v>1850</v>
      </c>
      <c r="V375" s="504">
        <f t="shared" si="601"/>
        <v>44558</v>
      </c>
      <c r="W375" s="504">
        <f t="shared" si="601"/>
        <v>4780</v>
      </c>
      <c r="X375" s="504">
        <f t="shared" si="601"/>
        <v>4780</v>
      </c>
      <c r="Y375" s="504">
        <f t="shared" si="601"/>
        <v>0</v>
      </c>
      <c r="Z375" s="504">
        <f t="shared" si="601"/>
        <v>1850</v>
      </c>
      <c r="AA375" s="504">
        <f t="shared" si="601"/>
        <v>9778</v>
      </c>
      <c r="AB375" s="504">
        <f t="shared" si="601"/>
        <v>8161</v>
      </c>
      <c r="AC375" s="504">
        <f t="shared" si="601"/>
        <v>0</v>
      </c>
      <c r="AD375" s="504">
        <f t="shared" si="601"/>
        <v>0</v>
      </c>
      <c r="AE375" s="504">
        <f t="shared" si="601"/>
        <v>3076.3772629999999</v>
      </c>
      <c r="AF375" s="504">
        <f t="shared" si="601"/>
        <v>6076.3772630000003</v>
      </c>
      <c r="AG375" s="504">
        <f t="shared" si="601"/>
        <v>14558</v>
      </c>
      <c r="AH375" s="504">
        <f t="shared" si="601"/>
        <v>12941</v>
      </c>
      <c r="AI375" s="504">
        <f t="shared" si="601"/>
        <v>0</v>
      </c>
      <c r="AJ375" s="504">
        <f t="shared" si="601"/>
        <v>0</v>
      </c>
      <c r="AK375" s="504">
        <f t="shared" si="601"/>
        <v>24317</v>
      </c>
      <c r="AL375" s="504">
        <f t="shared" si="601"/>
        <v>22700</v>
      </c>
      <c r="AM375" s="504">
        <f t="shared" si="601"/>
        <v>0</v>
      </c>
      <c r="AN375" s="504">
        <f t="shared" si="601"/>
        <v>0</v>
      </c>
      <c r="AO375" s="504">
        <f t="shared" si="601"/>
        <v>26317</v>
      </c>
      <c r="AP375" s="504">
        <f t="shared" si="601"/>
        <v>24700</v>
      </c>
      <c r="AQ375" s="504">
        <f t="shared" si="601"/>
        <v>0</v>
      </c>
      <c r="AR375" s="504">
        <f t="shared" si="601"/>
        <v>0</v>
      </c>
      <c r="AS375" s="504">
        <f t="shared" si="601"/>
        <v>69648</v>
      </c>
      <c r="AT375" s="504">
        <f t="shared" si="601"/>
        <v>40875</v>
      </c>
      <c r="AU375" s="504">
        <f t="shared" si="601"/>
        <v>37641</v>
      </c>
      <c r="AV375" s="504">
        <f t="shared" si="601"/>
        <v>41250</v>
      </c>
      <c r="AW375" s="504">
        <f>SUM(AW376:AW381)</f>
        <v>41250</v>
      </c>
      <c r="AX375" s="504">
        <f t="shared" si="601"/>
        <v>0</v>
      </c>
      <c r="AY375" s="504">
        <f t="shared" si="601"/>
        <v>0</v>
      </c>
      <c r="AZ375" s="505"/>
    </row>
    <row r="376" spans="1:53" ht="54" customHeight="1">
      <c r="A376" s="258">
        <v>1</v>
      </c>
      <c r="B376" s="267" t="s">
        <v>572</v>
      </c>
      <c r="C376" s="260" t="s">
        <v>544</v>
      </c>
      <c r="D376" s="260"/>
      <c r="E376" s="243" t="s">
        <v>840</v>
      </c>
      <c r="F376" s="260"/>
      <c r="G376" s="209"/>
      <c r="H376" s="268" t="s">
        <v>573</v>
      </c>
      <c r="I376" s="248" t="s">
        <v>574</v>
      </c>
      <c r="J376" s="212">
        <v>48374</v>
      </c>
      <c r="K376" s="212">
        <v>23162</v>
      </c>
      <c r="L376" s="212">
        <v>23595</v>
      </c>
      <c r="M376" s="212"/>
      <c r="N376" s="212">
        <v>23595</v>
      </c>
      <c r="O376" s="212"/>
      <c r="P376" s="212">
        <f t="shared" ref="P376:Q377" si="602">L376+W376</f>
        <v>23875</v>
      </c>
      <c r="Q376" s="212">
        <f t="shared" si="602"/>
        <v>280</v>
      </c>
      <c r="R376" s="212">
        <v>24779</v>
      </c>
      <c r="S376" s="212">
        <f>R376-1617-7000</f>
        <v>16162</v>
      </c>
      <c r="T376" s="212">
        <v>0</v>
      </c>
      <c r="U376" s="212"/>
      <c r="V376" s="212">
        <f>23595+280+1571</f>
        <v>25446</v>
      </c>
      <c r="W376" s="212">
        <v>280</v>
      </c>
      <c r="X376" s="212">
        <v>280</v>
      </c>
      <c r="Y376" s="212"/>
      <c r="Z376" s="212"/>
      <c r="AA376" s="212">
        <f>1617+AB376</f>
        <v>3188</v>
      </c>
      <c r="AB376" s="212">
        <f>300+271+1000</f>
        <v>1571</v>
      </c>
      <c r="AC376" s="212"/>
      <c r="AD376" s="212"/>
      <c r="AE376" s="273">
        <v>687.020263</v>
      </c>
      <c r="AF376" s="273">
        <v>687.020263</v>
      </c>
      <c r="AG376" s="212">
        <f t="shared" ref="AG376:AH376" si="603">W376+AA376</f>
        <v>3468</v>
      </c>
      <c r="AH376" s="212">
        <f t="shared" si="603"/>
        <v>1851</v>
      </c>
      <c r="AI376" s="212"/>
      <c r="AJ376" s="212"/>
      <c r="AK376" s="212">
        <f t="shared" ref="AK376:AN376" si="604">AO376</f>
        <v>7617</v>
      </c>
      <c r="AL376" s="212">
        <f t="shared" si="604"/>
        <v>6000</v>
      </c>
      <c r="AM376" s="212">
        <f t="shared" si="604"/>
        <v>0</v>
      </c>
      <c r="AN376" s="212">
        <f t="shared" si="604"/>
        <v>0</v>
      </c>
      <c r="AO376" s="212">
        <f>1617+AP376</f>
        <v>7617</v>
      </c>
      <c r="AP376" s="273">
        <v>6000</v>
      </c>
      <c r="AQ376" s="212"/>
      <c r="AR376" s="212"/>
      <c r="AS376" s="212">
        <f t="shared" si="593"/>
        <v>31446</v>
      </c>
      <c r="AT376" s="212">
        <f t="shared" ref="AT376" si="605">AG376+AO376</f>
        <v>11085</v>
      </c>
      <c r="AU376" s="212">
        <f t="shared" ref="AU376" si="606">AH376+AP376</f>
        <v>7851</v>
      </c>
      <c r="AV376" s="212">
        <f t="shared" si="600"/>
        <v>8300</v>
      </c>
      <c r="AW376" s="212">
        <v>8300</v>
      </c>
      <c r="AX376" s="212"/>
      <c r="AY376" s="212"/>
      <c r="AZ376" s="261" t="s">
        <v>875</v>
      </c>
    </row>
    <row r="377" spans="1:53" ht="63.95" customHeight="1">
      <c r="A377" s="528" t="s">
        <v>39</v>
      </c>
      <c r="B377" s="574" t="s">
        <v>576</v>
      </c>
      <c r="C377" s="303" t="s">
        <v>544</v>
      </c>
      <c r="D377" s="303"/>
      <c r="E377" s="512" t="s">
        <v>830</v>
      </c>
      <c r="F377" s="303"/>
      <c r="G377" s="303"/>
      <c r="H377" s="303" t="s">
        <v>904</v>
      </c>
      <c r="I377" s="512" t="s">
        <v>905</v>
      </c>
      <c r="J377" s="354">
        <v>43900</v>
      </c>
      <c r="K377" s="354">
        <v>43900</v>
      </c>
      <c r="L377" s="354">
        <v>8412</v>
      </c>
      <c r="M377" s="354">
        <v>6850</v>
      </c>
      <c r="N377" s="354">
        <v>8412</v>
      </c>
      <c r="O377" s="354">
        <v>6850</v>
      </c>
      <c r="P377" s="354">
        <f t="shared" si="602"/>
        <v>12912</v>
      </c>
      <c r="Q377" s="354">
        <f t="shared" si="602"/>
        <v>11350</v>
      </c>
      <c r="R377" s="354">
        <f>S377</f>
        <v>32263</v>
      </c>
      <c r="S377" s="354">
        <f>20488+11775</f>
        <v>32263</v>
      </c>
      <c r="T377" s="354">
        <v>0</v>
      </c>
      <c r="U377" s="354">
        <v>1850</v>
      </c>
      <c r="V377" s="354">
        <f>8412+4500+6000</f>
        <v>18912</v>
      </c>
      <c r="W377" s="354">
        <v>4500</v>
      </c>
      <c r="X377" s="354">
        <v>4500</v>
      </c>
      <c r="Y377" s="354"/>
      <c r="Z377" s="354">
        <v>1850</v>
      </c>
      <c r="AA377" s="542">
        <v>6000</v>
      </c>
      <c r="AB377" s="542">
        <v>6000</v>
      </c>
      <c r="AC377" s="354"/>
      <c r="AD377" s="354"/>
      <c r="AE377" s="575">
        <v>2389.357</v>
      </c>
      <c r="AF377" s="575">
        <v>5389.357</v>
      </c>
      <c r="AG377" s="354">
        <f>W377+AA377</f>
        <v>10500</v>
      </c>
      <c r="AH377" s="354">
        <f>X377+AB377</f>
        <v>10500</v>
      </c>
      <c r="AI377" s="354"/>
      <c r="AJ377" s="354"/>
      <c r="AK377" s="354">
        <f>AO377</f>
        <v>8000</v>
      </c>
      <c r="AL377" s="354">
        <f>AP377</f>
        <v>8000</v>
      </c>
      <c r="AM377" s="354">
        <f>AQ377</f>
        <v>0</v>
      </c>
      <c r="AN377" s="354">
        <f>AR377</f>
        <v>0</v>
      </c>
      <c r="AO377" s="354">
        <f>AP377</f>
        <v>8000</v>
      </c>
      <c r="AP377" s="354">
        <v>8000</v>
      </c>
      <c r="AQ377" s="354"/>
      <c r="AR377" s="354"/>
      <c r="AS377" s="212">
        <f>V377+AP377</f>
        <v>26912</v>
      </c>
      <c r="AT377" s="212">
        <f>AG377+AO377</f>
        <v>18500</v>
      </c>
      <c r="AU377" s="212">
        <f>AH377+AP377</f>
        <v>18500</v>
      </c>
      <c r="AV377" s="212">
        <f>AW377</f>
        <v>13700</v>
      </c>
      <c r="AW377" s="212">
        <v>13700</v>
      </c>
      <c r="AX377" s="212"/>
      <c r="AY377" s="212"/>
      <c r="AZ377" s="254" t="s">
        <v>906</v>
      </c>
    </row>
    <row r="378" spans="1:53" ht="42.75" customHeight="1">
      <c r="A378" s="258">
        <v>3</v>
      </c>
      <c r="B378" s="271" t="s">
        <v>591</v>
      </c>
      <c r="C378" s="260" t="s">
        <v>544</v>
      </c>
      <c r="D378" s="260"/>
      <c r="E378" s="248" t="s">
        <v>836</v>
      </c>
      <c r="F378" s="260"/>
      <c r="G378" s="261" t="s">
        <v>592</v>
      </c>
      <c r="H378" s="243" t="s">
        <v>676</v>
      </c>
      <c r="I378" s="248" t="s">
        <v>593</v>
      </c>
      <c r="J378" s="212">
        <v>13730</v>
      </c>
      <c r="K378" s="212">
        <v>13730</v>
      </c>
      <c r="L378" s="212"/>
      <c r="M378" s="212"/>
      <c r="N378" s="212"/>
      <c r="O378" s="212"/>
      <c r="P378" s="212">
        <f t="shared" ref="P378:Q380" si="607">L378+W378</f>
        <v>0</v>
      </c>
      <c r="Q378" s="212">
        <f t="shared" si="607"/>
        <v>0</v>
      </c>
      <c r="R378" s="212">
        <v>13730</v>
      </c>
      <c r="S378" s="212">
        <v>13730</v>
      </c>
      <c r="T378" s="212"/>
      <c r="U378" s="212"/>
      <c r="V378" s="212">
        <v>200</v>
      </c>
      <c r="W378" s="212"/>
      <c r="X378" s="212"/>
      <c r="Y378" s="212"/>
      <c r="Z378" s="212"/>
      <c r="AA378" s="212">
        <v>200</v>
      </c>
      <c r="AB378" s="212">
        <v>200</v>
      </c>
      <c r="AC378" s="212"/>
      <c r="AD378" s="212"/>
      <c r="AE378" s="212"/>
      <c r="AF378" s="212"/>
      <c r="AG378" s="212">
        <f t="shared" si="571"/>
        <v>200</v>
      </c>
      <c r="AH378" s="212">
        <f t="shared" si="572"/>
        <v>200</v>
      </c>
      <c r="AI378" s="212"/>
      <c r="AJ378" s="212"/>
      <c r="AK378" s="212">
        <f>AO378</f>
        <v>4000</v>
      </c>
      <c r="AL378" s="212">
        <f>AP378</f>
        <v>4000</v>
      </c>
      <c r="AM378" s="212">
        <f t="shared" si="575"/>
        <v>0</v>
      </c>
      <c r="AN378" s="212"/>
      <c r="AO378" s="212">
        <f t="shared" ref="AO378" si="608">AP378</f>
        <v>4000</v>
      </c>
      <c r="AP378" s="212">
        <v>4000</v>
      </c>
      <c r="AQ378" s="212"/>
      <c r="AR378" s="212"/>
      <c r="AS378" s="212">
        <v>4200</v>
      </c>
      <c r="AT378" s="212">
        <f t="shared" ref="AT378" si="609">AG378+AO378</f>
        <v>4200</v>
      </c>
      <c r="AU378" s="212">
        <f t="shared" ref="AU378" si="610">AH378+AP378</f>
        <v>4200</v>
      </c>
      <c r="AV378" s="212">
        <f t="shared" ref="AV378:AV382" si="611">AW378</f>
        <v>6500</v>
      </c>
      <c r="AW378" s="212">
        <v>6500</v>
      </c>
      <c r="AX378" s="212"/>
      <c r="AY378" s="212"/>
      <c r="AZ378" s="268"/>
      <c r="BA378" s="201">
        <f>AW378</f>
        <v>6500</v>
      </c>
    </row>
    <row r="379" spans="1:53" ht="51" customHeight="1">
      <c r="A379" s="258">
        <v>4</v>
      </c>
      <c r="B379" s="271" t="s">
        <v>594</v>
      </c>
      <c r="C379" s="260" t="s">
        <v>544</v>
      </c>
      <c r="D379" s="260"/>
      <c r="E379" s="248" t="s">
        <v>837</v>
      </c>
      <c r="F379" s="260"/>
      <c r="G379" s="261" t="s">
        <v>595</v>
      </c>
      <c r="H379" s="243"/>
      <c r="I379" s="509" t="s">
        <v>797</v>
      </c>
      <c r="J379" s="489">
        <v>17000</v>
      </c>
      <c r="K379" s="489">
        <v>17000</v>
      </c>
      <c r="L379" s="212"/>
      <c r="M379" s="212"/>
      <c r="N379" s="212"/>
      <c r="O379" s="212"/>
      <c r="P379" s="212">
        <f t="shared" si="607"/>
        <v>0</v>
      </c>
      <c r="Q379" s="212">
        <f t="shared" si="607"/>
        <v>0</v>
      </c>
      <c r="R379" s="212">
        <f>S379</f>
        <v>8000</v>
      </c>
      <c r="S379" s="212">
        <v>8000</v>
      </c>
      <c r="T379" s="212"/>
      <c r="U379" s="212"/>
      <c r="V379" s="212"/>
      <c r="W379" s="212"/>
      <c r="X379" s="212"/>
      <c r="Y379" s="212"/>
      <c r="Z379" s="212"/>
      <c r="AA379" s="212">
        <v>300</v>
      </c>
      <c r="AB379" s="212">
        <v>300</v>
      </c>
      <c r="AC379" s="212"/>
      <c r="AD379" s="212"/>
      <c r="AE379" s="212"/>
      <c r="AF379" s="212"/>
      <c r="AG379" s="212">
        <f t="shared" si="571"/>
        <v>300</v>
      </c>
      <c r="AH379" s="212">
        <f t="shared" si="572"/>
        <v>300</v>
      </c>
      <c r="AI379" s="212"/>
      <c r="AJ379" s="212"/>
      <c r="AK379" s="212">
        <f t="shared" si="573"/>
        <v>3000</v>
      </c>
      <c r="AL379" s="212">
        <f t="shared" si="574"/>
        <v>3000</v>
      </c>
      <c r="AM379" s="212">
        <f t="shared" si="575"/>
        <v>0</v>
      </c>
      <c r="AN379" s="212"/>
      <c r="AO379" s="212">
        <f t="shared" ref="AO379:AO382" si="612">AP379</f>
        <v>3000</v>
      </c>
      <c r="AP379" s="212">
        <v>3000</v>
      </c>
      <c r="AQ379" s="212"/>
      <c r="AR379" s="212"/>
      <c r="AS379" s="212">
        <v>3300</v>
      </c>
      <c r="AT379" s="212">
        <f t="shared" ref="AT379:AT382" si="613">AG379+AO379</f>
        <v>3300</v>
      </c>
      <c r="AU379" s="212">
        <f t="shared" ref="AU379:AU382" si="614">AH379+AP379</f>
        <v>3300</v>
      </c>
      <c r="AV379" s="212">
        <f t="shared" si="611"/>
        <v>4600</v>
      </c>
      <c r="AW379" s="212">
        <v>4600</v>
      </c>
      <c r="AX379" s="212"/>
      <c r="AY379" s="212"/>
      <c r="AZ379" s="268"/>
      <c r="BA379" s="201">
        <f>AW379</f>
        <v>4600</v>
      </c>
    </row>
    <row r="380" spans="1:53" ht="50.45" customHeight="1">
      <c r="A380" s="209">
        <v>5</v>
      </c>
      <c r="B380" s="288" t="s">
        <v>590</v>
      </c>
      <c r="C380" s="243" t="s">
        <v>350</v>
      </c>
      <c r="D380" s="243"/>
      <c r="E380" s="243" t="s">
        <v>840</v>
      </c>
      <c r="F380" s="243"/>
      <c r="G380" s="260"/>
      <c r="H380" s="243"/>
      <c r="I380" s="509" t="s">
        <v>679</v>
      </c>
      <c r="J380" s="212">
        <f>K380</f>
        <v>6000</v>
      </c>
      <c r="K380" s="212">
        <v>6000</v>
      </c>
      <c r="L380" s="212"/>
      <c r="M380" s="212"/>
      <c r="N380" s="212"/>
      <c r="O380" s="212"/>
      <c r="P380" s="212">
        <f t="shared" si="607"/>
        <v>0</v>
      </c>
      <c r="Q380" s="212">
        <f t="shared" si="607"/>
        <v>0</v>
      </c>
      <c r="R380" s="212">
        <v>6000</v>
      </c>
      <c r="S380" s="212">
        <v>6000</v>
      </c>
      <c r="T380" s="212"/>
      <c r="U380" s="212"/>
      <c r="V380" s="212"/>
      <c r="W380" s="212"/>
      <c r="X380" s="212"/>
      <c r="Y380" s="212"/>
      <c r="Z380" s="212"/>
      <c r="AA380" s="212">
        <v>90</v>
      </c>
      <c r="AB380" s="212">
        <v>90</v>
      </c>
      <c r="AC380" s="212"/>
      <c r="AD380" s="212"/>
      <c r="AE380" s="212"/>
      <c r="AF380" s="212"/>
      <c r="AG380" s="212">
        <f>W380+AA380</f>
        <v>90</v>
      </c>
      <c r="AH380" s="212">
        <f>X380+AB380</f>
        <v>90</v>
      </c>
      <c r="AI380" s="212"/>
      <c r="AJ380" s="212"/>
      <c r="AK380" s="212">
        <f>AO380</f>
        <v>1700</v>
      </c>
      <c r="AL380" s="212">
        <f>AP380</f>
        <v>1700</v>
      </c>
      <c r="AM380" s="212">
        <f>AQ380</f>
        <v>0</v>
      </c>
      <c r="AN380" s="212"/>
      <c r="AO380" s="212">
        <f t="shared" si="612"/>
        <v>1700</v>
      </c>
      <c r="AP380" s="212">
        <v>1700</v>
      </c>
      <c r="AQ380" s="212"/>
      <c r="AR380" s="212"/>
      <c r="AS380" s="212">
        <v>1790</v>
      </c>
      <c r="AT380" s="212">
        <f t="shared" si="613"/>
        <v>1790</v>
      </c>
      <c r="AU380" s="212">
        <f t="shared" si="614"/>
        <v>1790</v>
      </c>
      <c r="AV380" s="212">
        <f t="shared" si="611"/>
        <v>4150</v>
      </c>
      <c r="AW380" s="212">
        <v>4150</v>
      </c>
      <c r="AX380" s="212"/>
      <c r="AY380" s="212"/>
      <c r="AZ380" s="268"/>
    </row>
    <row r="381" spans="1:53" ht="50.45" customHeight="1">
      <c r="A381" s="209">
        <v>6</v>
      </c>
      <c r="B381" s="535" t="s">
        <v>856</v>
      </c>
      <c r="C381" s="303" t="s">
        <v>350</v>
      </c>
      <c r="D381" s="243"/>
      <c r="E381" s="243" t="s">
        <v>857</v>
      </c>
      <c r="F381" s="243"/>
      <c r="G381" s="260"/>
      <c r="H381" s="303" t="s">
        <v>676</v>
      </c>
      <c r="I381" s="509" t="s">
        <v>858</v>
      </c>
      <c r="J381" s="489">
        <v>7000</v>
      </c>
      <c r="K381" s="489">
        <v>7000</v>
      </c>
      <c r="L381" s="212"/>
      <c r="M381" s="212"/>
      <c r="N381" s="212"/>
      <c r="O381" s="212"/>
      <c r="P381" s="212"/>
      <c r="Q381" s="212"/>
      <c r="R381" s="212">
        <f>S381</f>
        <v>7000</v>
      </c>
      <c r="S381" s="212">
        <v>7000</v>
      </c>
      <c r="T381" s="212"/>
      <c r="U381" s="212"/>
      <c r="V381" s="212"/>
      <c r="W381" s="212"/>
      <c r="X381" s="212"/>
      <c r="Y381" s="212"/>
      <c r="Z381" s="212"/>
      <c r="AA381" s="212"/>
      <c r="AB381" s="212"/>
      <c r="AC381" s="212"/>
      <c r="AD381" s="212"/>
      <c r="AE381" s="212"/>
      <c r="AF381" s="212"/>
      <c r="AG381" s="212"/>
      <c r="AH381" s="212"/>
      <c r="AI381" s="212"/>
      <c r="AJ381" s="212"/>
      <c r="AK381" s="212"/>
      <c r="AL381" s="212"/>
      <c r="AM381" s="212"/>
      <c r="AN381" s="212"/>
      <c r="AO381" s="212">
        <f t="shared" si="612"/>
        <v>2000</v>
      </c>
      <c r="AP381" s="212">
        <v>2000</v>
      </c>
      <c r="AQ381" s="212"/>
      <c r="AR381" s="212"/>
      <c r="AS381" s="212">
        <v>2000</v>
      </c>
      <c r="AT381" s="212">
        <f t="shared" si="613"/>
        <v>2000</v>
      </c>
      <c r="AU381" s="212">
        <f t="shared" si="614"/>
        <v>2000</v>
      </c>
      <c r="AV381" s="212">
        <f t="shared" si="611"/>
        <v>4000</v>
      </c>
      <c r="AW381" s="212">
        <v>4000</v>
      </c>
      <c r="AX381" s="212"/>
      <c r="AY381" s="212"/>
      <c r="AZ381" s="268"/>
      <c r="BA381" s="201">
        <f>AW381</f>
        <v>4000</v>
      </c>
    </row>
    <row r="382" spans="1:53" ht="50.45" hidden="1" customHeight="1">
      <c r="A382" s="209">
        <v>7</v>
      </c>
      <c r="B382" s="314" t="s">
        <v>527</v>
      </c>
      <c r="C382" s="303"/>
      <c r="D382" s="243"/>
      <c r="E382" s="243"/>
      <c r="F382" s="243"/>
      <c r="G382" s="260"/>
      <c r="H382" s="303"/>
      <c r="I382" s="509" t="s">
        <v>868</v>
      </c>
      <c r="J382" s="489">
        <v>46000</v>
      </c>
      <c r="K382" s="489">
        <v>5400</v>
      </c>
      <c r="L382" s="212"/>
      <c r="M382" s="212"/>
      <c r="N382" s="212"/>
      <c r="O382" s="212"/>
      <c r="P382" s="212"/>
      <c r="Q382" s="212"/>
      <c r="R382" s="212">
        <f>S382</f>
        <v>5000</v>
      </c>
      <c r="S382" s="212">
        <v>5000</v>
      </c>
      <c r="T382" s="212"/>
      <c r="U382" s="212"/>
      <c r="V382" s="212"/>
      <c r="W382" s="212"/>
      <c r="X382" s="212"/>
      <c r="Y382" s="212"/>
      <c r="Z382" s="212"/>
      <c r="AA382" s="212"/>
      <c r="AB382" s="212"/>
      <c r="AC382" s="212"/>
      <c r="AD382" s="212"/>
      <c r="AE382" s="212"/>
      <c r="AF382" s="212"/>
      <c r="AG382" s="212"/>
      <c r="AH382" s="212"/>
      <c r="AI382" s="212"/>
      <c r="AJ382" s="212"/>
      <c r="AK382" s="212"/>
      <c r="AL382" s="212"/>
      <c r="AM382" s="212"/>
      <c r="AN382" s="212"/>
      <c r="AO382" s="212">
        <f t="shared" si="612"/>
        <v>1050</v>
      </c>
      <c r="AP382" s="212">
        <v>1050</v>
      </c>
      <c r="AQ382" s="212"/>
      <c r="AR382" s="212"/>
      <c r="AS382" s="212"/>
      <c r="AT382" s="212">
        <f t="shared" si="613"/>
        <v>1050</v>
      </c>
      <c r="AU382" s="212">
        <f t="shared" si="614"/>
        <v>1050</v>
      </c>
      <c r="AV382" s="212">
        <f t="shared" si="611"/>
        <v>0</v>
      </c>
      <c r="AW382" s="212"/>
      <c r="AX382" s="212"/>
      <c r="AY382" s="212"/>
      <c r="AZ382" s="268" t="s">
        <v>870</v>
      </c>
      <c r="BA382" s="201">
        <f>AW382</f>
        <v>0</v>
      </c>
    </row>
    <row r="383" spans="1:53" s="232" customFormat="1" ht="38.25" customHeight="1">
      <c r="A383" s="637" t="s">
        <v>279</v>
      </c>
      <c r="B383" s="638" t="s">
        <v>901</v>
      </c>
      <c r="C383" s="639"/>
      <c r="D383" s="639"/>
      <c r="E383" s="639"/>
      <c r="F383" s="639"/>
      <c r="G383" s="640"/>
      <c r="H383" s="337"/>
      <c r="I383" s="523"/>
      <c r="J383" s="525">
        <f t="shared" ref="J383:AW383" si="615">J384</f>
        <v>190400</v>
      </c>
      <c r="K383" s="525">
        <f t="shared" si="615"/>
        <v>95600</v>
      </c>
      <c r="L383" s="525">
        <f t="shared" si="615"/>
        <v>0</v>
      </c>
      <c r="M383" s="525">
        <f t="shared" si="615"/>
        <v>0</v>
      </c>
      <c r="N383" s="525">
        <f t="shared" si="615"/>
        <v>0</v>
      </c>
      <c r="O383" s="525">
        <f t="shared" si="615"/>
        <v>0</v>
      </c>
      <c r="P383" s="525">
        <f t="shared" si="615"/>
        <v>0</v>
      </c>
      <c r="Q383" s="525">
        <f t="shared" si="615"/>
        <v>0</v>
      </c>
      <c r="R383" s="525">
        <f t="shared" si="615"/>
        <v>123453</v>
      </c>
      <c r="S383" s="525">
        <f t="shared" si="615"/>
        <v>83853</v>
      </c>
      <c r="T383" s="525">
        <f t="shared" si="615"/>
        <v>0</v>
      </c>
      <c r="U383" s="525">
        <f t="shared" si="615"/>
        <v>0</v>
      </c>
      <c r="V383" s="525"/>
      <c r="W383" s="525">
        <f t="shared" si="615"/>
        <v>0</v>
      </c>
      <c r="X383" s="525">
        <f t="shared" si="615"/>
        <v>0</v>
      </c>
      <c r="Y383" s="525">
        <f t="shared" si="615"/>
        <v>0</v>
      </c>
      <c r="Z383" s="525">
        <f t="shared" si="615"/>
        <v>0</v>
      </c>
      <c r="AA383" s="525">
        <f t="shared" si="615"/>
        <v>0</v>
      </c>
      <c r="AB383" s="525">
        <f t="shared" si="615"/>
        <v>0</v>
      </c>
      <c r="AC383" s="525">
        <f t="shared" si="615"/>
        <v>0</v>
      </c>
      <c r="AD383" s="525">
        <f t="shared" si="615"/>
        <v>0</v>
      </c>
      <c r="AE383" s="525">
        <f t="shared" si="615"/>
        <v>0</v>
      </c>
      <c r="AF383" s="525">
        <f t="shared" si="615"/>
        <v>0</v>
      </c>
      <c r="AG383" s="525">
        <f t="shared" si="615"/>
        <v>0</v>
      </c>
      <c r="AH383" s="525">
        <f t="shared" si="615"/>
        <v>0</v>
      </c>
      <c r="AI383" s="525"/>
      <c r="AJ383" s="525"/>
      <c r="AK383" s="525">
        <f t="shared" si="615"/>
        <v>0</v>
      </c>
      <c r="AL383" s="525">
        <f t="shared" si="615"/>
        <v>0</v>
      </c>
      <c r="AM383" s="525">
        <f t="shared" si="615"/>
        <v>0</v>
      </c>
      <c r="AN383" s="525">
        <f t="shared" si="615"/>
        <v>0</v>
      </c>
      <c r="AO383" s="525">
        <f t="shared" si="615"/>
        <v>93</v>
      </c>
      <c r="AP383" s="525">
        <f t="shared" si="615"/>
        <v>93</v>
      </c>
      <c r="AQ383" s="525">
        <f t="shared" si="615"/>
        <v>0</v>
      </c>
      <c r="AR383" s="525">
        <f t="shared" si="615"/>
        <v>0</v>
      </c>
      <c r="AS383" s="242">
        <f t="shared" si="615"/>
        <v>16564</v>
      </c>
      <c r="AT383" s="242">
        <f t="shared" si="615"/>
        <v>16564</v>
      </c>
      <c r="AU383" s="242">
        <f t="shared" si="615"/>
        <v>3064</v>
      </c>
      <c r="AV383" s="242">
        <f t="shared" si="615"/>
        <v>24396</v>
      </c>
      <c r="AW383" s="242">
        <f t="shared" si="615"/>
        <v>24396</v>
      </c>
      <c r="AX383" s="242"/>
      <c r="AY383" s="242"/>
      <c r="AZ383" s="286"/>
    </row>
    <row r="384" spans="1:53" s="533" customFormat="1" ht="30.75" customHeight="1">
      <c r="A384" s="501" t="s">
        <v>44</v>
      </c>
      <c r="B384" s="502" t="s">
        <v>629</v>
      </c>
      <c r="C384" s="557"/>
      <c r="D384" s="557"/>
      <c r="E384" s="557"/>
      <c r="F384" s="557"/>
      <c r="G384" s="558"/>
      <c r="H384" s="534"/>
      <c r="I384" s="503"/>
      <c r="J384" s="551">
        <f>SUM(J385:J395)</f>
        <v>190400</v>
      </c>
      <c r="K384" s="551">
        <f t="shared" ref="K384:AY384" si="616">SUM(K385:K395)</f>
        <v>95600</v>
      </c>
      <c r="L384" s="551">
        <f t="shared" si="616"/>
        <v>0</v>
      </c>
      <c r="M384" s="551">
        <f t="shared" si="616"/>
        <v>0</v>
      </c>
      <c r="N384" s="551">
        <f t="shared" si="616"/>
        <v>0</v>
      </c>
      <c r="O384" s="551">
        <f t="shared" si="616"/>
        <v>0</v>
      </c>
      <c r="P384" s="551">
        <f t="shared" si="616"/>
        <v>0</v>
      </c>
      <c r="Q384" s="551">
        <f t="shared" si="616"/>
        <v>0</v>
      </c>
      <c r="R384" s="551">
        <f t="shared" si="616"/>
        <v>123453</v>
      </c>
      <c r="S384" s="551">
        <f t="shared" si="616"/>
        <v>83853</v>
      </c>
      <c r="T384" s="551">
        <f t="shared" si="616"/>
        <v>0</v>
      </c>
      <c r="U384" s="551">
        <f t="shared" si="616"/>
        <v>0</v>
      </c>
      <c r="V384" s="551">
        <f t="shared" si="616"/>
        <v>0</v>
      </c>
      <c r="W384" s="551">
        <f t="shared" si="616"/>
        <v>0</v>
      </c>
      <c r="X384" s="551">
        <f t="shared" si="616"/>
        <v>0</v>
      </c>
      <c r="Y384" s="551">
        <f t="shared" si="616"/>
        <v>0</v>
      </c>
      <c r="Z384" s="551">
        <f t="shared" si="616"/>
        <v>0</v>
      </c>
      <c r="AA384" s="551">
        <f t="shared" si="616"/>
        <v>0</v>
      </c>
      <c r="AB384" s="551">
        <f t="shared" si="616"/>
        <v>0</v>
      </c>
      <c r="AC384" s="551">
        <f t="shared" si="616"/>
        <v>0</v>
      </c>
      <c r="AD384" s="551">
        <f t="shared" si="616"/>
        <v>0</v>
      </c>
      <c r="AE384" s="551">
        <f t="shared" si="616"/>
        <v>0</v>
      </c>
      <c r="AF384" s="551">
        <f t="shared" si="616"/>
        <v>0</v>
      </c>
      <c r="AG384" s="551">
        <f t="shared" si="616"/>
        <v>0</v>
      </c>
      <c r="AH384" s="551">
        <f t="shared" si="616"/>
        <v>0</v>
      </c>
      <c r="AI384" s="551">
        <f t="shared" si="616"/>
        <v>0</v>
      </c>
      <c r="AJ384" s="551">
        <f t="shared" si="616"/>
        <v>0</v>
      </c>
      <c r="AK384" s="551">
        <f t="shared" si="616"/>
        <v>0</v>
      </c>
      <c r="AL384" s="551">
        <f t="shared" si="616"/>
        <v>0</v>
      </c>
      <c r="AM384" s="551">
        <f t="shared" si="616"/>
        <v>0</v>
      </c>
      <c r="AN384" s="551">
        <f t="shared" si="616"/>
        <v>0</v>
      </c>
      <c r="AO384" s="551">
        <f t="shared" si="616"/>
        <v>93</v>
      </c>
      <c r="AP384" s="551">
        <f t="shared" si="616"/>
        <v>93</v>
      </c>
      <c r="AQ384" s="551">
        <f t="shared" si="616"/>
        <v>0</v>
      </c>
      <c r="AR384" s="551">
        <f t="shared" si="616"/>
        <v>0</v>
      </c>
      <c r="AS384" s="551">
        <f t="shared" si="616"/>
        <v>16564</v>
      </c>
      <c r="AT384" s="551">
        <f t="shared" si="616"/>
        <v>16564</v>
      </c>
      <c r="AU384" s="551">
        <f t="shared" si="616"/>
        <v>3064</v>
      </c>
      <c r="AV384" s="551">
        <f t="shared" si="616"/>
        <v>24396</v>
      </c>
      <c r="AW384" s="551">
        <f t="shared" si="616"/>
        <v>24396</v>
      </c>
      <c r="AX384" s="551">
        <f t="shared" si="616"/>
        <v>0</v>
      </c>
      <c r="AY384" s="551">
        <f t="shared" si="616"/>
        <v>0</v>
      </c>
      <c r="AZ384" s="505"/>
    </row>
    <row r="385" spans="1:53" ht="44.1" customHeight="1">
      <c r="A385" s="258">
        <v>1</v>
      </c>
      <c r="B385" s="535" t="s">
        <v>860</v>
      </c>
      <c r="C385" s="243" t="s">
        <v>558</v>
      </c>
      <c r="D385" s="260"/>
      <c r="E385" s="243" t="s">
        <v>857</v>
      </c>
      <c r="F385" s="260"/>
      <c r="G385" s="319"/>
      <c r="H385" s="303" t="s">
        <v>367</v>
      </c>
      <c r="I385" s="651" t="s">
        <v>968</v>
      </c>
      <c r="J385" s="489">
        <f>K385</f>
        <v>6000</v>
      </c>
      <c r="K385" s="489">
        <v>6000</v>
      </c>
      <c r="L385" s="212"/>
      <c r="M385" s="212"/>
      <c r="N385" s="212"/>
      <c r="O385" s="212"/>
      <c r="P385" s="212"/>
      <c r="Q385" s="212"/>
      <c r="R385" s="212">
        <f>S385</f>
        <v>3000</v>
      </c>
      <c r="S385" s="212">
        <v>3000</v>
      </c>
      <c r="T385" s="212"/>
      <c r="U385" s="212"/>
      <c r="V385" s="212"/>
      <c r="W385" s="212"/>
      <c r="X385" s="212"/>
      <c r="Y385" s="212"/>
      <c r="Z385" s="212"/>
      <c r="AA385" s="212"/>
      <c r="AB385" s="212"/>
      <c r="AC385" s="212"/>
      <c r="AD385" s="212"/>
      <c r="AE385" s="212"/>
      <c r="AF385" s="212"/>
      <c r="AG385" s="212"/>
      <c r="AH385" s="212"/>
      <c r="AI385" s="212"/>
      <c r="AJ385" s="212"/>
      <c r="AK385" s="212"/>
      <c r="AL385" s="212"/>
      <c r="AM385" s="212"/>
      <c r="AN385" s="212"/>
      <c r="AO385" s="212">
        <f>AP385</f>
        <v>93</v>
      </c>
      <c r="AP385" s="212">
        <v>93</v>
      </c>
      <c r="AQ385" s="212"/>
      <c r="AR385" s="212"/>
      <c r="AS385" s="212">
        <v>50</v>
      </c>
      <c r="AT385" s="212">
        <f>+AU385</f>
        <v>50</v>
      </c>
      <c r="AU385" s="212">
        <v>50</v>
      </c>
      <c r="AV385" s="212">
        <f>AW385</f>
        <v>2500</v>
      </c>
      <c r="AW385" s="212">
        <v>2500</v>
      </c>
      <c r="AX385" s="212"/>
      <c r="AY385" s="212"/>
      <c r="AZ385" s="268" t="s">
        <v>907</v>
      </c>
      <c r="BA385" s="201">
        <f>AW385</f>
        <v>2500</v>
      </c>
    </row>
    <row r="386" spans="1:53" ht="42.95" customHeight="1">
      <c r="A386" s="258">
        <v>2</v>
      </c>
      <c r="B386" s="547" t="s">
        <v>891</v>
      </c>
      <c r="C386" s="260"/>
      <c r="D386" s="260"/>
      <c r="E386" s="243" t="s">
        <v>937</v>
      </c>
      <c r="F386" s="260"/>
      <c r="G386" s="319"/>
      <c r="H386" s="243" t="s">
        <v>936</v>
      </c>
      <c r="I386" s="248" t="s">
        <v>935</v>
      </c>
      <c r="J386" s="212">
        <v>10000</v>
      </c>
      <c r="K386" s="212">
        <v>10000</v>
      </c>
      <c r="L386" s="212"/>
      <c r="M386" s="212"/>
      <c r="N386" s="212"/>
      <c r="O386" s="212"/>
      <c r="P386" s="212"/>
      <c r="Q386" s="212"/>
      <c r="R386" s="212">
        <f>S386</f>
        <v>10000</v>
      </c>
      <c r="S386" s="212">
        <v>10000</v>
      </c>
      <c r="T386" s="212"/>
      <c r="U386" s="212"/>
      <c r="V386" s="212"/>
      <c r="W386" s="212"/>
      <c r="X386" s="212"/>
      <c r="Y386" s="212"/>
      <c r="Z386" s="212"/>
      <c r="AA386" s="212"/>
      <c r="AB386" s="212"/>
      <c r="AC386" s="212"/>
      <c r="AD386" s="212"/>
      <c r="AE386" s="212"/>
      <c r="AF386" s="212"/>
      <c r="AG386" s="212"/>
      <c r="AH386" s="212"/>
      <c r="AI386" s="212"/>
      <c r="AJ386" s="212"/>
      <c r="AK386" s="212"/>
      <c r="AL386" s="212"/>
      <c r="AM386" s="212"/>
      <c r="AN386" s="212"/>
      <c r="AO386" s="212"/>
      <c r="AP386" s="212"/>
      <c r="AQ386" s="212"/>
      <c r="AR386" s="212"/>
      <c r="AS386" s="212">
        <v>100</v>
      </c>
      <c r="AT386" s="212">
        <f>+AU386</f>
        <v>100</v>
      </c>
      <c r="AU386" s="212">
        <v>100</v>
      </c>
      <c r="AV386" s="212">
        <f>AW386</f>
        <v>8500</v>
      </c>
      <c r="AW386" s="212">
        <v>8500</v>
      </c>
      <c r="AX386" s="212"/>
      <c r="AY386" s="212"/>
      <c r="AZ386" s="268" t="s">
        <v>907</v>
      </c>
    </row>
    <row r="387" spans="1:53" ht="48.95" customHeight="1">
      <c r="A387" s="258">
        <v>3</v>
      </c>
      <c r="B387" s="510" t="s">
        <v>892</v>
      </c>
      <c r="C387" s="260" t="s">
        <v>544</v>
      </c>
      <c r="D387" s="260"/>
      <c r="E387" s="243" t="s">
        <v>961</v>
      </c>
      <c r="F387" s="260"/>
      <c r="G387" s="319"/>
      <c r="H387" s="303" t="s">
        <v>367</v>
      </c>
      <c r="I387" s="509" t="s">
        <v>960</v>
      </c>
      <c r="J387" s="489">
        <v>14800</v>
      </c>
      <c r="K387" s="489">
        <v>9000</v>
      </c>
      <c r="L387" s="212"/>
      <c r="M387" s="212"/>
      <c r="N387" s="212"/>
      <c r="O387" s="212"/>
      <c r="P387" s="212"/>
      <c r="Q387" s="212"/>
      <c r="R387" s="212">
        <v>9000</v>
      </c>
      <c r="S387" s="212">
        <v>5000</v>
      </c>
      <c r="T387" s="212"/>
      <c r="U387" s="212"/>
      <c r="V387" s="212"/>
      <c r="W387" s="212"/>
      <c r="X387" s="212"/>
      <c r="Y387" s="212"/>
      <c r="Z387" s="212"/>
      <c r="AA387" s="212"/>
      <c r="AB387" s="212"/>
      <c r="AC387" s="212"/>
      <c r="AD387" s="212"/>
      <c r="AE387" s="212"/>
      <c r="AF387" s="212"/>
      <c r="AG387" s="212"/>
      <c r="AH387" s="212"/>
      <c r="AI387" s="212"/>
      <c r="AJ387" s="212"/>
      <c r="AK387" s="212"/>
      <c r="AL387" s="212"/>
      <c r="AM387" s="212"/>
      <c r="AN387" s="212"/>
      <c r="AO387" s="212"/>
      <c r="AP387" s="212"/>
      <c r="AQ387" s="212"/>
      <c r="AR387" s="212"/>
      <c r="AS387" s="212">
        <f>+AT387</f>
        <v>1500</v>
      </c>
      <c r="AT387" s="212">
        <v>1500</v>
      </c>
      <c r="AU387" s="212"/>
      <c r="AV387" s="212">
        <f>AW387</f>
        <v>1716</v>
      </c>
      <c r="AW387" s="212">
        <v>1716</v>
      </c>
      <c r="AX387" s="212"/>
      <c r="AY387" s="212"/>
      <c r="AZ387" s="268" t="s">
        <v>907</v>
      </c>
    </row>
    <row r="388" spans="1:53" ht="46.5" customHeight="1">
      <c r="A388" s="258">
        <v>4</v>
      </c>
      <c r="B388" s="353" t="s">
        <v>806</v>
      </c>
      <c r="C388" s="243"/>
      <c r="D388" s="243"/>
      <c r="E388" s="243" t="s">
        <v>1048</v>
      </c>
      <c r="F388" s="260"/>
      <c r="G388" s="319"/>
      <c r="H388" s="243"/>
      <c r="I388" s="248" t="s">
        <v>958</v>
      </c>
      <c r="J388" s="212">
        <f>K388</f>
        <v>10000</v>
      </c>
      <c r="K388" s="212">
        <v>10000</v>
      </c>
      <c r="L388" s="212"/>
      <c r="M388" s="212"/>
      <c r="N388" s="212"/>
      <c r="O388" s="212"/>
      <c r="P388" s="212"/>
      <c r="Q388" s="212"/>
      <c r="R388" s="212">
        <f>10000</f>
        <v>10000</v>
      </c>
      <c r="S388" s="212">
        <v>10000</v>
      </c>
      <c r="T388" s="212"/>
      <c r="U388" s="212"/>
      <c r="V388" s="212"/>
      <c r="W388" s="212"/>
      <c r="X388" s="212"/>
      <c r="Y388" s="212"/>
      <c r="Z388" s="212"/>
      <c r="AA388" s="212"/>
      <c r="AB388" s="212"/>
      <c r="AC388" s="212"/>
      <c r="AD388" s="212"/>
      <c r="AE388" s="212"/>
      <c r="AF388" s="212"/>
      <c r="AG388" s="212"/>
      <c r="AH388" s="212"/>
      <c r="AI388" s="212"/>
      <c r="AJ388" s="212"/>
      <c r="AK388" s="212"/>
      <c r="AL388" s="212"/>
      <c r="AM388" s="212"/>
      <c r="AN388" s="212"/>
      <c r="AO388" s="212"/>
      <c r="AP388" s="212"/>
      <c r="AQ388" s="212"/>
      <c r="AR388" s="212"/>
      <c r="AS388" s="212">
        <v>200</v>
      </c>
      <c r="AT388" s="212">
        <f>+AU388</f>
        <v>200</v>
      </c>
      <c r="AU388" s="212">
        <v>200</v>
      </c>
      <c r="AV388" s="212">
        <f>AW388</f>
        <v>5000</v>
      </c>
      <c r="AW388" s="212">
        <v>5000</v>
      </c>
      <c r="AX388" s="212"/>
      <c r="AY388" s="212"/>
      <c r="AZ388" s="268" t="s">
        <v>907</v>
      </c>
    </row>
    <row r="389" spans="1:53" ht="70.5" customHeight="1">
      <c r="A389" s="258">
        <v>5</v>
      </c>
      <c r="B389" s="616" t="s">
        <v>963</v>
      </c>
      <c r="C389" s="243"/>
      <c r="D389" s="243"/>
      <c r="E389" s="243" t="s">
        <v>1048</v>
      </c>
      <c r="F389" s="260"/>
      <c r="G389" s="319"/>
      <c r="H389" s="243"/>
      <c r="I389" s="581" t="s">
        <v>964</v>
      </c>
      <c r="J389" s="601">
        <v>62500</v>
      </c>
      <c r="K389" s="601">
        <v>11500</v>
      </c>
      <c r="L389" s="212"/>
      <c r="M389" s="212"/>
      <c r="N389" s="212"/>
      <c r="O389" s="212"/>
      <c r="P389" s="212"/>
      <c r="Q389" s="212"/>
      <c r="R389" s="212">
        <f>+S389+35100</f>
        <v>44100</v>
      </c>
      <c r="S389" s="212">
        <v>9000</v>
      </c>
      <c r="T389" s="212"/>
      <c r="U389" s="212"/>
      <c r="V389" s="212"/>
      <c r="W389" s="212"/>
      <c r="X389" s="212"/>
      <c r="Y389" s="212"/>
      <c r="Z389" s="212"/>
      <c r="AA389" s="212"/>
      <c r="AB389" s="212"/>
      <c r="AC389" s="212"/>
      <c r="AD389" s="212"/>
      <c r="AE389" s="212"/>
      <c r="AF389" s="212"/>
      <c r="AG389" s="212"/>
      <c r="AH389" s="212"/>
      <c r="AI389" s="212"/>
      <c r="AJ389" s="212"/>
      <c r="AK389" s="212"/>
      <c r="AL389" s="212"/>
      <c r="AM389" s="212"/>
      <c r="AN389" s="212"/>
      <c r="AO389" s="212"/>
      <c r="AP389" s="212"/>
      <c r="AQ389" s="212"/>
      <c r="AR389" s="212"/>
      <c r="AS389" s="212">
        <v>12000</v>
      </c>
      <c r="AT389" s="212">
        <v>12000</v>
      </c>
      <c r="AU389" s="212"/>
      <c r="AV389" s="212">
        <f>+AW389</f>
        <v>4180</v>
      </c>
      <c r="AW389" s="212">
        <v>4180</v>
      </c>
      <c r="AX389" s="212"/>
      <c r="AY389" s="212"/>
      <c r="AZ389" s="268" t="s">
        <v>1031</v>
      </c>
    </row>
    <row r="390" spans="1:53" ht="63" customHeight="1">
      <c r="A390" s="258">
        <v>6</v>
      </c>
      <c r="B390" s="510" t="s">
        <v>965</v>
      </c>
      <c r="C390" s="243"/>
      <c r="D390" s="243"/>
      <c r="E390" s="243" t="s">
        <v>1049</v>
      </c>
      <c r="F390" s="260"/>
      <c r="G390" s="319"/>
      <c r="H390" s="303" t="s">
        <v>966</v>
      </c>
      <c r="I390" s="254" t="s">
        <v>967</v>
      </c>
      <c r="J390" s="601">
        <v>45000</v>
      </c>
      <c r="K390" s="601">
        <v>7000</v>
      </c>
      <c r="L390" s="212"/>
      <c r="M390" s="212"/>
      <c r="N390" s="212"/>
      <c r="O390" s="212"/>
      <c r="P390" s="212"/>
      <c r="Q390" s="212"/>
      <c r="R390" s="212">
        <v>7000</v>
      </c>
      <c r="S390" s="212">
        <v>6500</v>
      </c>
      <c r="T390" s="212"/>
      <c r="U390" s="212"/>
      <c r="V390" s="212"/>
      <c r="W390" s="212"/>
      <c r="X390" s="212"/>
      <c r="Y390" s="212"/>
      <c r="Z390" s="212"/>
      <c r="AA390" s="212"/>
      <c r="AB390" s="212"/>
      <c r="AC390" s="212"/>
      <c r="AD390" s="212"/>
      <c r="AE390" s="212"/>
      <c r="AF390" s="212"/>
      <c r="AG390" s="212"/>
      <c r="AH390" s="212"/>
      <c r="AI390" s="212"/>
      <c r="AJ390" s="212"/>
      <c r="AK390" s="212"/>
      <c r="AL390" s="212"/>
      <c r="AM390" s="212"/>
      <c r="AN390" s="212"/>
      <c r="AO390" s="212"/>
      <c r="AP390" s="212"/>
      <c r="AQ390" s="212"/>
      <c r="AR390" s="212"/>
      <c r="AS390" s="212">
        <v>2714</v>
      </c>
      <c r="AT390" s="212">
        <f>+AU390</f>
        <v>2714</v>
      </c>
      <c r="AU390" s="212">
        <v>2714</v>
      </c>
      <c r="AV390" s="212">
        <f>+AW390</f>
        <v>2000</v>
      </c>
      <c r="AW390" s="212">
        <v>2000</v>
      </c>
      <c r="AX390" s="212"/>
      <c r="AY390" s="212"/>
      <c r="AZ390" s="268" t="s">
        <v>907</v>
      </c>
    </row>
    <row r="391" spans="1:53" s="257" customFormat="1" ht="25.5" customHeight="1">
      <c r="A391" s="287"/>
      <c r="B391" s="236" t="s">
        <v>169</v>
      </c>
      <c r="C391" s="311"/>
      <c r="D391" s="311"/>
      <c r="E391" s="311"/>
      <c r="F391" s="311"/>
      <c r="G391" s="311"/>
      <c r="H391" s="311"/>
      <c r="I391" s="256"/>
      <c r="J391" s="300"/>
      <c r="K391" s="300"/>
      <c r="L391" s="300"/>
      <c r="M391" s="300"/>
      <c r="N391" s="300"/>
      <c r="O391" s="300"/>
      <c r="P391" s="300"/>
      <c r="Q391" s="300"/>
      <c r="R391" s="300"/>
      <c r="S391" s="300"/>
      <c r="T391" s="300"/>
      <c r="U391" s="300"/>
      <c r="V391" s="300"/>
      <c r="W391" s="300">
        <f t="shared" ref="W391:AH391" si="617">W396</f>
        <v>0</v>
      </c>
      <c r="X391" s="300">
        <f t="shared" si="617"/>
        <v>0</v>
      </c>
      <c r="Y391" s="300">
        <f t="shared" si="617"/>
        <v>0</v>
      </c>
      <c r="Z391" s="300">
        <f t="shared" si="617"/>
        <v>0</v>
      </c>
      <c r="AA391" s="300">
        <f t="shared" si="617"/>
        <v>0</v>
      </c>
      <c r="AB391" s="300">
        <f t="shared" si="617"/>
        <v>0</v>
      </c>
      <c r="AC391" s="300">
        <f t="shared" si="617"/>
        <v>0</v>
      </c>
      <c r="AD391" s="300">
        <f t="shared" si="617"/>
        <v>0</v>
      </c>
      <c r="AE391" s="300">
        <f t="shared" si="617"/>
        <v>0</v>
      </c>
      <c r="AF391" s="300">
        <f t="shared" si="617"/>
        <v>0</v>
      </c>
      <c r="AG391" s="300">
        <f t="shared" si="617"/>
        <v>0</v>
      </c>
      <c r="AH391" s="300">
        <f t="shared" si="617"/>
        <v>0</v>
      </c>
      <c r="AI391" s="300"/>
      <c r="AJ391" s="300"/>
      <c r="AK391" s="300">
        <f t="shared" ref="AK391:AR391" si="618">AK396</f>
        <v>0</v>
      </c>
      <c r="AL391" s="300">
        <f t="shared" si="618"/>
        <v>0</v>
      </c>
      <c r="AM391" s="300">
        <f t="shared" si="618"/>
        <v>0</v>
      </c>
      <c r="AN391" s="300">
        <f t="shared" si="618"/>
        <v>0</v>
      </c>
      <c r="AO391" s="300">
        <f t="shared" si="618"/>
        <v>0</v>
      </c>
      <c r="AP391" s="300">
        <f t="shared" si="618"/>
        <v>0</v>
      </c>
      <c r="AQ391" s="300">
        <f t="shared" si="618"/>
        <v>0</v>
      </c>
      <c r="AR391" s="300">
        <f t="shared" si="618"/>
        <v>0</v>
      </c>
      <c r="AS391" s="300"/>
      <c r="AT391" s="300"/>
      <c r="AU391" s="300"/>
      <c r="AV391" s="300"/>
      <c r="AW391" s="300"/>
      <c r="AX391" s="300"/>
      <c r="AY391" s="300"/>
      <c r="AZ391" s="256"/>
      <c r="BA391" s="533"/>
    </row>
    <row r="392" spans="1:53" s="257" customFormat="1" ht="45" customHeight="1">
      <c r="A392" s="282" t="s">
        <v>37</v>
      </c>
      <c r="B392" s="547" t="s">
        <v>962</v>
      </c>
      <c r="C392" s="260" t="s">
        <v>544</v>
      </c>
      <c r="D392" s="311"/>
      <c r="E392" s="243" t="s">
        <v>812</v>
      </c>
      <c r="F392" s="311"/>
      <c r="G392" s="311"/>
      <c r="H392" s="311"/>
      <c r="I392" s="256"/>
      <c r="J392" s="273">
        <f>+K392</f>
        <v>14500</v>
      </c>
      <c r="K392" s="273">
        <v>14500</v>
      </c>
      <c r="L392" s="300"/>
      <c r="M392" s="300"/>
      <c r="N392" s="300"/>
      <c r="O392" s="300"/>
      <c r="P392" s="300"/>
      <c r="Q392" s="300"/>
      <c r="R392" s="273">
        <f>+S392</f>
        <v>12753</v>
      </c>
      <c r="S392" s="273">
        <f>4548+8205</f>
        <v>12753</v>
      </c>
      <c r="T392" s="273"/>
      <c r="U392" s="273"/>
      <c r="V392" s="273"/>
      <c r="W392" s="273"/>
      <c r="X392" s="273"/>
      <c r="Y392" s="273"/>
      <c r="Z392" s="273"/>
      <c r="AA392" s="273"/>
      <c r="AB392" s="273"/>
      <c r="AC392" s="273"/>
      <c r="AD392" s="273"/>
      <c r="AE392" s="273"/>
      <c r="AF392" s="273"/>
      <c r="AG392" s="273"/>
      <c r="AH392" s="273"/>
      <c r="AI392" s="273"/>
      <c r="AJ392" s="273"/>
      <c r="AK392" s="273"/>
      <c r="AL392" s="273"/>
      <c r="AM392" s="273"/>
      <c r="AN392" s="273"/>
      <c r="AO392" s="273"/>
      <c r="AP392" s="273"/>
      <c r="AQ392" s="273"/>
      <c r="AR392" s="273"/>
      <c r="AS392" s="273"/>
      <c r="AT392" s="273"/>
      <c r="AU392" s="273"/>
      <c r="AV392" s="273">
        <f>+AW392</f>
        <v>200</v>
      </c>
      <c r="AW392" s="273">
        <v>200</v>
      </c>
      <c r="AX392" s="273"/>
      <c r="AY392" s="273"/>
      <c r="AZ392" s="248" t="s">
        <v>944</v>
      </c>
      <c r="BA392" s="533"/>
    </row>
    <row r="393" spans="1:53" s="257" customFormat="1" ht="34.5" customHeight="1">
      <c r="A393" s="282" t="s">
        <v>39</v>
      </c>
      <c r="B393" s="547" t="s">
        <v>1027</v>
      </c>
      <c r="C393" s="260"/>
      <c r="D393" s="311"/>
      <c r="E393" s="243"/>
      <c r="F393" s="311"/>
      <c r="G393" s="311"/>
      <c r="H393" s="311"/>
      <c r="I393" s="256"/>
      <c r="J393" s="646">
        <f>K393</f>
        <v>3300</v>
      </c>
      <c r="K393" s="212">
        <v>3300</v>
      </c>
      <c r="L393" s="300"/>
      <c r="M393" s="300"/>
      <c r="N393" s="300"/>
      <c r="O393" s="300"/>
      <c r="P393" s="300"/>
      <c r="Q393" s="300"/>
      <c r="R393" s="273">
        <f>+S393</f>
        <v>3300</v>
      </c>
      <c r="S393" s="273">
        <v>3300</v>
      </c>
      <c r="T393" s="273"/>
      <c r="U393" s="273"/>
      <c r="V393" s="273"/>
      <c r="W393" s="273"/>
      <c r="X393" s="273"/>
      <c r="Y393" s="273"/>
      <c r="Z393" s="273"/>
      <c r="AA393" s="273"/>
      <c r="AB393" s="273"/>
      <c r="AC393" s="273"/>
      <c r="AD393" s="273"/>
      <c r="AE393" s="273"/>
      <c r="AF393" s="273"/>
      <c r="AG393" s="273"/>
      <c r="AH393" s="273"/>
      <c r="AI393" s="273"/>
      <c r="AJ393" s="273"/>
      <c r="AK393" s="273"/>
      <c r="AL393" s="273"/>
      <c r="AM393" s="273"/>
      <c r="AN393" s="273"/>
      <c r="AO393" s="273"/>
      <c r="AP393" s="273"/>
      <c r="AQ393" s="273"/>
      <c r="AR393" s="273"/>
      <c r="AS393" s="273"/>
      <c r="AT393" s="273"/>
      <c r="AU393" s="273"/>
      <c r="AV393" s="273">
        <f>+AW393</f>
        <v>100</v>
      </c>
      <c r="AW393" s="273">
        <v>100</v>
      </c>
      <c r="AX393" s="273"/>
      <c r="AY393" s="273"/>
      <c r="AZ393" s="248" t="s">
        <v>944</v>
      </c>
      <c r="BA393" s="533">
        <f>+AW393</f>
        <v>100</v>
      </c>
    </row>
    <row r="394" spans="1:53" s="257" customFormat="1" ht="34.5" customHeight="1">
      <c r="A394" s="282" t="s">
        <v>77</v>
      </c>
      <c r="B394" s="616" t="s">
        <v>1042</v>
      </c>
      <c r="C394" s="260"/>
      <c r="D394" s="311"/>
      <c r="E394" s="243"/>
      <c r="F394" s="311"/>
      <c r="G394" s="311"/>
      <c r="H394" s="311"/>
      <c r="I394" s="256"/>
      <c r="J394" s="646">
        <f>+K394</f>
        <v>10800</v>
      </c>
      <c r="K394" s="212">
        <v>10800</v>
      </c>
      <c r="L394" s="300"/>
      <c r="M394" s="300"/>
      <c r="N394" s="300"/>
      <c r="O394" s="300"/>
      <c r="P394" s="300"/>
      <c r="Q394" s="300"/>
      <c r="R394" s="273">
        <f>+S394</f>
        <v>10800</v>
      </c>
      <c r="S394" s="273">
        <v>10800</v>
      </c>
      <c r="T394" s="273"/>
      <c r="U394" s="273"/>
      <c r="V394" s="273"/>
      <c r="W394" s="273"/>
      <c r="X394" s="273"/>
      <c r="Y394" s="273"/>
      <c r="Z394" s="273"/>
      <c r="AA394" s="273"/>
      <c r="AB394" s="273"/>
      <c r="AC394" s="273"/>
      <c r="AD394" s="273"/>
      <c r="AE394" s="273"/>
      <c r="AF394" s="273"/>
      <c r="AG394" s="273"/>
      <c r="AH394" s="273"/>
      <c r="AI394" s="273"/>
      <c r="AJ394" s="273"/>
      <c r="AK394" s="273"/>
      <c r="AL394" s="273"/>
      <c r="AM394" s="273"/>
      <c r="AN394" s="273"/>
      <c r="AO394" s="273"/>
      <c r="AP394" s="273"/>
      <c r="AQ394" s="273"/>
      <c r="AR394" s="273"/>
      <c r="AS394" s="273"/>
      <c r="AT394" s="273"/>
      <c r="AU394" s="273"/>
      <c r="AV394" s="273">
        <f>+AW394</f>
        <v>100</v>
      </c>
      <c r="AW394" s="273">
        <v>100</v>
      </c>
      <c r="AX394" s="273"/>
      <c r="AY394" s="273"/>
      <c r="AZ394" s="248" t="s">
        <v>944</v>
      </c>
      <c r="BA394" s="533"/>
    </row>
    <row r="395" spans="1:53" s="257" customFormat="1" ht="54" customHeight="1">
      <c r="A395" s="282" t="s">
        <v>79</v>
      </c>
      <c r="B395" s="321" t="s">
        <v>1041</v>
      </c>
      <c r="C395" s="260"/>
      <c r="D395" s="311"/>
      <c r="E395" s="243"/>
      <c r="F395" s="311"/>
      <c r="G395" s="311"/>
      <c r="H395" s="311"/>
      <c r="I395" s="256"/>
      <c r="J395" s="646">
        <f>K395</f>
        <v>13500</v>
      </c>
      <c r="K395" s="212">
        <v>13500</v>
      </c>
      <c r="L395" s="300"/>
      <c r="M395" s="300"/>
      <c r="N395" s="300"/>
      <c r="O395" s="300"/>
      <c r="P395" s="300"/>
      <c r="Q395" s="300"/>
      <c r="R395" s="273">
        <f>+S395</f>
        <v>13500</v>
      </c>
      <c r="S395" s="273">
        <v>13500</v>
      </c>
      <c r="T395" s="273"/>
      <c r="U395" s="273"/>
      <c r="V395" s="273"/>
      <c r="W395" s="273"/>
      <c r="X395" s="273"/>
      <c r="Y395" s="273"/>
      <c r="Z395" s="273"/>
      <c r="AA395" s="273"/>
      <c r="AB395" s="273"/>
      <c r="AC395" s="273"/>
      <c r="AD395" s="273"/>
      <c r="AE395" s="273"/>
      <c r="AF395" s="273"/>
      <c r="AG395" s="273"/>
      <c r="AH395" s="273"/>
      <c r="AI395" s="273"/>
      <c r="AJ395" s="273"/>
      <c r="AK395" s="273"/>
      <c r="AL395" s="273"/>
      <c r="AM395" s="273"/>
      <c r="AN395" s="273"/>
      <c r="AO395" s="273"/>
      <c r="AP395" s="273"/>
      <c r="AQ395" s="273"/>
      <c r="AR395" s="273"/>
      <c r="AS395" s="273"/>
      <c r="AT395" s="273"/>
      <c r="AU395" s="273"/>
      <c r="AV395" s="273">
        <f>+AW395</f>
        <v>100</v>
      </c>
      <c r="AW395" s="273">
        <v>100</v>
      </c>
      <c r="AX395" s="273"/>
      <c r="AY395" s="273"/>
      <c r="AZ395" s="248" t="s">
        <v>944</v>
      </c>
      <c r="BA395" s="533"/>
    </row>
    <row r="396" spans="1:53" ht="34.5" customHeight="1">
      <c r="A396" s="258"/>
      <c r="B396" s="353"/>
      <c r="C396" s="243"/>
      <c r="D396" s="243"/>
      <c r="E396" s="243"/>
      <c r="F396" s="260"/>
      <c r="G396" s="319"/>
      <c r="H396" s="243"/>
      <c r="I396" s="248"/>
      <c r="J396" s="212"/>
      <c r="K396" s="212"/>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68"/>
    </row>
    <row r="397" spans="1:53" ht="30.75" customHeight="1">
      <c r="A397" s="258"/>
      <c r="B397" s="228" t="s">
        <v>327</v>
      </c>
      <c r="C397" s="260"/>
      <c r="D397" s="260"/>
      <c r="E397" s="260"/>
      <c r="F397" s="260"/>
      <c r="G397" s="260"/>
      <c r="H397" s="243"/>
      <c r="I397" s="248"/>
      <c r="J397" s="212"/>
      <c r="K397" s="212"/>
      <c r="L397" s="212"/>
      <c r="M397" s="212"/>
      <c r="N397" s="212"/>
      <c r="O397" s="212"/>
      <c r="P397" s="212"/>
      <c r="Q397" s="212"/>
      <c r="R397" s="212"/>
      <c r="S397" s="249"/>
      <c r="T397" s="212"/>
      <c r="U397" s="212"/>
      <c r="V397" s="212"/>
      <c r="W397" s="212"/>
      <c r="X397" s="212"/>
      <c r="Y397" s="212"/>
      <c r="Z397" s="212"/>
      <c r="AA397" s="212"/>
      <c r="AB397" s="212"/>
      <c r="AC397" s="212"/>
      <c r="AD397" s="212"/>
      <c r="AE397" s="212"/>
      <c r="AF397" s="212"/>
      <c r="AG397" s="212"/>
      <c r="AH397" s="212"/>
      <c r="AI397" s="212"/>
      <c r="AJ397" s="212"/>
      <c r="AK397" s="212"/>
      <c r="AL397" s="212"/>
      <c r="AM397" s="212"/>
      <c r="AN397" s="212"/>
      <c r="AO397" s="212"/>
      <c r="AP397" s="215">
        <v>41000</v>
      </c>
      <c r="AQ397" s="212"/>
      <c r="AR397" s="212"/>
      <c r="AS397" s="212"/>
      <c r="AT397" s="212"/>
      <c r="AU397" s="212"/>
      <c r="AV397" s="212"/>
      <c r="AW397" s="215">
        <v>40813</v>
      </c>
      <c r="AX397" s="212"/>
      <c r="AY397" s="212"/>
      <c r="AZ397" s="268"/>
    </row>
    <row r="398" spans="1:53" s="251" customFormat="1" ht="33" customHeight="1">
      <c r="A398" s="237" t="s">
        <v>632</v>
      </c>
      <c r="B398" s="238" t="s">
        <v>324</v>
      </c>
      <c r="C398" s="229"/>
      <c r="D398" s="229"/>
      <c r="E398" s="229"/>
      <c r="F398" s="229"/>
      <c r="G398" s="229"/>
      <c r="H398" s="229"/>
      <c r="I398" s="231"/>
      <c r="J398" s="215">
        <f t="shared" ref="J398:AH398" si="619">J399+J410</f>
        <v>1458879.8</v>
      </c>
      <c r="K398" s="215">
        <f t="shared" si="619"/>
        <v>124556.6</v>
      </c>
      <c r="L398" s="215">
        <f t="shared" si="619"/>
        <v>28363.69</v>
      </c>
      <c r="M398" s="215">
        <f t="shared" si="619"/>
        <v>4263</v>
      </c>
      <c r="N398" s="215">
        <f t="shared" si="619"/>
        <v>0</v>
      </c>
      <c r="O398" s="215">
        <f t="shared" si="619"/>
        <v>0</v>
      </c>
      <c r="P398" s="215">
        <f t="shared" si="619"/>
        <v>29363.69</v>
      </c>
      <c r="Q398" s="215">
        <f t="shared" si="619"/>
        <v>5263</v>
      </c>
      <c r="R398" s="215">
        <f t="shared" si="619"/>
        <v>804448.8</v>
      </c>
      <c r="S398" s="215">
        <f t="shared" si="619"/>
        <v>70125</v>
      </c>
      <c r="T398" s="215">
        <f t="shared" si="619"/>
        <v>0</v>
      </c>
      <c r="U398" s="215">
        <f t="shared" si="619"/>
        <v>0</v>
      </c>
      <c r="V398" s="215">
        <f t="shared" si="619"/>
        <v>0</v>
      </c>
      <c r="W398" s="215">
        <f t="shared" si="619"/>
        <v>1000</v>
      </c>
      <c r="X398" s="215">
        <f t="shared" si="619"/>
        <v>1000</v>
      </c>
      <c r="Y398" s="215">
        <f t="shared" si="619"/>
        <v>0</v>
      </c>
      <c r="Z398" s="215">
        <f t="shared" si="619"/>
        <v>0</v>
      </c>
      <c r="AA398" s="215">
        <f t="shared" si="619"/>
        <v>5200</v>
      </c>
      <c r="AB398" s="215">
        <f t="shared" si="619"/>
        <v>5200</v>
      </c>
      <c r="AC398" s="215">
        <f t="shared" si="619"/>
        <v>0</v>
      </c>
      <c r="AD398" s="215">
        <f t="shared" si="619"/>
        <v>0</v>
      </c>
      <c r="AE398" s="215">
        <f t="shared" si="619"/>
        <v>0</v>
      </c>
      <c r="AF398" s="215">
        <f t="shared" si="619"/>
        <v>0</v>
      </c>
      <c r="AG398" s="215">
        <f t="shared" si="619"/>
        <v>6200</v>
      </c>
      <c r="AH398" s="215">
        <f t="shared" si="619"/>
        <v>6200</v>
      </c>
      <c r="AI398" s="215"/>
      <c r="AJ398" s="215"/>
      <c r="AK398" s="215">
        <f t="shared" ref="AK398:AV398" si="620">AK399+AK410</f>
        <v>17733</v>
      </c>
      <c r="AL398" s="215">
        <f t="shared" si="620"/>
        <v>17733</v>
      </c>
      <c r="AM398" s="215">
        <f t="shared" si="620"/>
        <v>0</v>
      </c>
      <c r="AN398" s="215">
        <f t="shared" si="620"/>
        <v>0</v>
      </c>
      <c r="AO398" s="215">
        <f t="shared" si="620"/>
        <v>25733</v>
      </c>
      <c r="AP398" s="215">
        <f t="shared" si="620"/>
        <v>25733</v>
      </c>
      <c r="AQ398" s="215">
        <f t="shared" si="620"/>
        <v>0</v>
      </c>
      <c r="AR398" s="215">
        <f t="shared" si="620"/>
        <v>0</v>
      </c>
      <c r="AS398" s="215">
        <f t="shared" si="620"/>
        <v>11379</v>
      </c>
      <c r="AT398" s="215">
        <f t="shared" si="620"/>
        <v>26312</v>
      </c>
      <c r="AU398" s="215">
        <f t="shared" si="620"/>
        <v>26312</v>
      </c>
      <c r="AV398" s="215">
        <f t="shared" si="620"/>
        <v>40813</v>
      </c>
      <c r="AW398" s="215">
        <f>AW399+AW410</f>
        <v>40813</v>
      </c>
      <c r="AX398" s="215"/>
      <c r="AY398" s="215"/>
      <c r="AZ398" s="648"/>
      <c r="BA398" s="232"/>
    </row>
    <row r="399" spans="1:53" s="232" customFormat="1" ht="36.75" customHeight="1">
      <c r="A399" s="340" t="s">
        <v>598</v>
      </c>
      <c r="B399" s="330" t="s">
        <v>599</v>
      </c>
      <c r="C399" s="229"/>
      <c r="D399" s="229"/>
      <c r="E399" s="229"/>
      <c r="F399" s="229"/>
      <c r="G399" s="229"/>
      <c r="H399" s="229"/>
      <c r="I399" s="217"/>
      <c r="J399" s="215">
        <f t="shared" ref="J399:AV399" si="621">J400+J405+J406+J409</f>
        <v>1205524</v>
      </c>
      <c r="K399" s="215">
        <f t="shared" si="621"/>
        <v>83652</v>
      </c>
      <c r="L399" s="215">
        <f t="shared" si="621"/>
        <v>0</v>
      </c>
      <c r="M399" s="215">
        <f t="shared" si="621"/>
        <v>0</v>
      </c>
      <c r="N399" s="215">
        <f t="shared" si="621"/>
        <v>0</v>
      </c>
      <c r="O399" s="215">
        <f t="shared" si="621"/>
        <v>0</v>
      </c>
      <c r="P399" s="215">
        <f t="shared" si="621"/>
        <v>0</v>
      </c>
      <c r="Q399" s="215">
        <f t="shared" si="621"/>
        <v>0</v>
      </c>
      <c r="R399" s="215">
        <f t="shared" si="621"/>
        <v>632356</v>
      </c>
      <c r="S399" s="215">
        <f t="shared" si="621"/>
        <v>53388</v>
      </c>
      <c r="T399" s="215">
        <f t="shared" si="621"/>
        <v>0</v>
      </c>
      <c r="U399" s="215">
        <f t="shared" si="621"/>
        <v>0</v>
      </c>
      <c r="V399" s="215">
        <f t="shared" si="621"/>
        <v>0</v>
      </c>
      <c r="W399" s="215">
        <f t="shared" si="621"/>
        <v>0</v>
      </c>
      <c r="X399" s="215">
        <f t="shared" si="621"/>
        <v>0</v>
      </c>
      <c r="Y399" s="215">
        <f t="shared" si="621"/>
        <v>0</v>
      </c>
      <c r="Z399" s="215">
        <f t="shared" si="621"/>
        <v>0</v>
      </c>
      <c r="AA399" s="215">
        <f t="shared" si="621"/>
        <v>4000</v>
      </c>
      <c r="AB399" s="215">
        <f t="shared" si="621"/>
        <v>4000</v>
      </c>
      <c r="AC399" s="215">
        <f t="shared" si="621"/>
        <v>0</v>
      </c>
      <c r="AD399" s="215">
        <f t="shared" si="621"/>
        <v>0</v>
      </c>
      <c r="AE399" s="215">
        <f t="shared" si="621"/>
        <v>0</v>
      </c>
      <c r="AF399" s="215">
        <f t="shared" si="621"/>
        <v>0</v>
      </c>
      <c r="AG399" s="215">
        <f t="shared" si="621"/>
        <v>4000</v>
      </c>
      <c r="AH399" s="215">
        <f t="shared" si="621"/>
        <v>4000</v>
      </c>
      <c r="AI399" s="215">
        <f t="shared" si="621"/>
        <v>0</v>
      </c>
      <c r="AJ399" s="215">
        <f t="shared" si="621"/>
        <v>0</v>
      </c>
      <c r="AK399" s="215">
        <f t="shared" si="621"/>
        <v>16233</v>
      </c>
      <c r="AL399" s="215">
        <f t="shared" si="621"/>
        <v>16233</v>
      </c>
      <c r="AM399" s="215">
        <f t="shared" si="621"/>
        <v>0</v>
      </c>
      <c r="AN399" s="215">
        <f t="shared" si="621"/>
        <v>0</v>
      </c>
      <c r="AO399" s="215">
        <f t="shared" si="621"/>
        <v>16233</v>
      </c>
      <c r="AP399" s="215">
        <f t="shared" si="621"/>
        <v>16233</v>
      </c>
      <c r="AQ399" s="215">
        <f t="shared" si="621"/>
        <v>0</v>
      </c>
      <c r="AR399" s="215">
        <f t="shared" si="621"/>
        <v>0</v>
      </c>
      <c r="AS399" s="215">
        <f t="shared" si="621"/>
        <v>3379</v>
      </c>
      <c r="AT399" s="215">
        <f t="shared" si="621"/>
        <v>14612</v>
      </c>
      <c r="AU399" s="215">
        <f t="shared" si="621"/>
        <v>14612</v>
      </c>
      <c r="AV399" s="215">
        <f t="shared" si="621"/>
        <v>35776</v>
      </c>
      <c r="AW399" s="215">
        <f>AW400+AW405+AW406+AW409</f>
        <v>35776</v>
      </c>
      <c r="AX399" s="215"/>
      <c r="AY399" s="215"/>
      <c r="AZ399" s="265"/>
    </row>
    <row r="400" spans="1:53" s="232" customFormat="1" ht="27.75" customHeight="1">
      <c r="A400" s="341" t="s">
        <v>600</v>
      </c>
      <c r="B400" s="342" t="s">
        <v>602</v>
      </c>
      <c r="C400" s="229"/>
      <c r="D400" s="229"/>
      <c r="E400" s="229"/>
      <c r="F400" s="229"/>
      <c r="G400" s="229"/>
      <c r="H400" s="229"/>
      <c r="I400" s="217"/>
      <c r="J400" s="215">
        <f>+J401+J403</f>
        <v>686083</v>
      </c>
      <c r="K400" s="215">
        <f t="shared" ref="K400:AV400" si="622">+K401+K403</f>
        <v>13163</v>
      </c>
      <c r="L400" s="215">
        <f t="shared" si="622"/>
        <v>0</v>
      </c>
      <c r="M400" s="215">
        <f t="shared" si="622"/>
        <v>0</v>
      </c>
      <c r="N400" s="215">
        <f t="shared" si="622"/>
        <v>0</v>
      </c>
      <c r="O400" s="215">
        <f t="shared" si="622"/>
        <v>0</v>
      </c>
      <c r="P400" s="215">
        <f t="shared" si="622"/>
        <v>0</v>
      </c>
      <c r="Q400" s="215">
        <f t="shared" si="622"/>
        <v>0</v>
      </c>
      <c r="R400" s="215">
        <f t="shared" si="622"/>
        <v>82215</v>
      </c>
      <c r="S400" s="215">
        <f t="shared" si="622"/>
        <v>13079</v>
      </c>
      <c r="T400" s="215">
        <f t="shared" si="622"/>
        <v>0</v>
      </c>
      <c r="U400" s="215">
        <f t="shared" si="622"/>
        <v>0</v>
      </c>
      <c r="V400" s="215">
        <f t="shared" si="622"/>
        <v>0</v>
      </c>
      <c r="W400" s="215">
        <f t="shared" si="622"/>
        <v>0</v>
      </c>
      <c r="X400" s="215">
        <f t="shared" si="622"/>
        <v>0</v>
      </c>
      <c r="Y400" s="215">
        <f t="shared" si="622"/>
        <v>0</v>
      </c>
      <c r="Z400" s="215">
        <f t="shared" si="622"/>
        <v>0</v>
      </c>
      <c r="AA400" s="215">
        <f t="shared" si="622"/>
        <v>2000</v>
      </c>
      <c r="AB400" s="215">
        <f t="shared" si="622"/>
        <v>2000</v>
      </c>
      <c r="AC400" s="215">
        <f t="shared" si="622"/>
        <v>0</v>
      </c>
      <c r="AD400" s="215">
        <f t="shared" si="622"/>
        <v>0</v>
      </c>
      <c r="AE400" s="215">
        <f t="shared" si="622"/>
        <v>0</v>
      </c>
      <c r="AF400" s="215">
        <f t="shared" si="622"/>
        <v>0</v>
      </c>
      <c r="AG400" s="215">
        <f t="shared" si="622"/>
        <v>2000</v>
      </c>
      <c r="AH400" s="215">
        <f t="shared" si="622"/>
        <v>2000</v>
      </c>
      <c r="AI400" s="215">
        <f t="shared" si="622"/>
        <v>0</v>
      </c>
      <c r="AJ400" s="215">
        <f t="shared" si="622"/>
        <v>0</v>
      </c>
      <c r="AK400" s="215">
        <f t="shared" si="622"/>
        <v>2233</v>
      </c>
      <c r="AL400" s="215">
        <f t="shared" si="622"/>
        <v>2233</v>
      </c>
      <c r="AM400" s="215">
        <f t="shared" si="622"/>
        <v>0</v>
      </c>
      <c r="AN400" s="215">
        <f t="shared" si="622"/>
        <v>0</v>
      </c>
      <c r="AO400" s="215">
        <f t="shared" si="622"/>
        <v>2233</v>
      </c>
      <c r="AP400" s="215">
        <f t="shared" si="622"/>
        <v>2233</v>
      </c>
      <c r="AQ400" s="215">
        <f t="shared" si="622"/>
        <v>0</v>
      </c>
      <c r="AR400" s="215">
        <f t="shared" si="622"/>
        <v>0</v>
      </c>
      <c r="AS400" s="215">
        <f t="shared" si="622"/>
        <v>3379</v>
      </c>
      <c r="AT400" s="215">
        <f t="shared" si="622"/>
        <v>7612</v>
      </c>
      <c r="AU400" s="215">
        <f t="shared" si="622"/>
        <v>7612</v>
      </c>
      <c r="AV400" s="215">
        <f t="shared" si="622"/>
        <v>5467</v>
      </c>
      <c r="AW400" s="215">
        <f>+AW401+AW403</f>
        <v>5467</v>
      </c>
      <c r="AX400" s="215"/>
      <c r="AY400" s="215"/>
      <c r="AZ400" s="340"/>
    </row>
    <row r="401" spans="1:53" s="257" customFormat="1" ht="30" customHeight="1">
      <c r="A401" s="624"/>
      <c r="B401" s="236" t="s">
        <v>983</v>
      </c>
      <c r="C401" s="255"/>
      <c r="D401" s="255"/>
      <c r="E401" s="255"/>
      <c r="F401" s="255"/>
      <c r="G401" s="255"/>
      <c r="H401" s="255"/>
      <c r="I401" s="283"/>
      <c r="J401" s="277">
        <f>J402</f>
        <v>206256</v>
      </c>
      <c r="K401" s="277">
        <f t="shared" ref="K401:AW401" si="623">K402</f>
        <v>4579</v>
      </c>
      <c r="L401" s="277">
        <f t="shared" si="623"/>
        <v>0</v>
      </c>
      <c r="M401" s="277">
        <f t="shared" si="623"/>
        <v>0</v>
      </c>
      <c r="N401" s="277">
        <f t="shared" si="623"/>
        <v>0</v>
      </c>
      <c r="O401" s="277">
        <f t="shared" si="623"/>
        <v>0</v>
      </c>
      <c r="P401" s="277">
        <f t="shared" si="623"/>
        <v>0</v>
      </c>
      <c r="Q401" s="277">
        <f t="shared" si="623"/>
        <v>0</v>
      </c>
      <c r="R401" s="277">
        <f t="shared" si="623"/>
        <v>4579</v>
      </c>
      <c r="S401" s="277">
        <f t="shared" si="623"/>
        <v>4579</v>
      </c>
      <c r="T401" s="277">
        <f t="shared" si="623"/>
        <v>0</v>
      </c>
      <c r="U401" s="277">
        <f t="shared" si="623"/>
        <v>0</v>
      </c>
      <c r="V401" s="277">
        <f t="shared" si="623"/>
        <v>0</v>
      </c>
      <c r="W401" s="277">
        <f t="shared" si="623"/>
        <v>0</v>
      </c>
      <c r="X401" s="277">
        <f t="shared" si="623"/>
        <v>0</v>
      </c>
      <c r="Y401" s="277">
        <f t="shared" si="623"/>
        <v>0</v>
      </c>
      <c r="Z401" s="277">
        <f t="shared" si="623"/>
        <v>0</v>
      </c>
      <c r="AA401" s="277">
        <f t="shared" si="623"/>
        <v>0</v>
      </c>
      <c r="AB401" s="277">
        <f t="shared" si="623"/>
        <v>0</v>
      </c>
      <c r="AC401" s="277">
        <f t="shared" si="623"/>
        <v>0</v>
      </c>
      <c r="AD401" s="277">
        <f t="shared" si="623"/>
        <v>0</v>
      </c>
      <c r="AE401" s="277">
        <f t="shared" si="623"/>
        <v>0</v>
      </c>
      <c r="AF401" s="277">
        <f t="shared" si="623"/>
        <v>0</v>
      </c>
      <c r="AG401" s="277">
        <f t="shared" si="623"/>
        <v>0</v>
      </c>
      <c r="AH401" s="277">
        <f t="shared" si="623"/>
        <v>0</v>
      </c>
      <c r="AI401" s="277">
        <f t="shared" si="623"/>
        <v>0</v>
      </c>
      <c r="AJ401" s="277">
        <f t="shared" si="623"/>
        <v>0</v>
      </c>
      <c r="AK401" s="277">
        <f t="shared" si="623"/>
        <v>0</v>
      </c>
      <c r="AL401" s="277">
        <f t="shared" si="623"/>
        <v>0</v>
      </c>
      <c r="AM401" s="277">
        <f t="shared" si="623"/>
        <v>0</v>
      </c>
      <c r="AN401" s="277">
        <f t="shared" si="623"/>
        <v>0</v>
      </c>
      <c r="AO401" s="277">
        <f t="shared" si="623"/>
        <v>0</v>
      </c>
      <c r="AP401" s="277">
        <f t="shared" si="623"/>
        <v>0</v>
      </c>
      <c r="AQ401" s="277">
        <f t="shared" si="623"/>
        <v>0</v>
      </c>
      <c r="AR401" s="277">
        <f t="shared" si="623"/>
        <v>0</v>
      </c>
      <c r="AS401" s="277">
        <f t="shared" si="623"/>
        <v>3379</v>
      </c>
      <c r="AT401" s="277">
        <f t="shared" si="623"/>
        <v>3379</v>
      </c>
      <c r="AU401" s="277">
        <f t="shared" si="623"/>
        <v>3379</v>
      </c>
      <c r="AV401" s="277">
        <f t="shared" si="623"/>
        <v>1200</v>
      </c>
      <c r="AW401" s="277">
        <f t="shared" si="623"/>
        <v>1200</v>
      </c>
      <c r="AX401" s="277"/>
      <c r="AY401" s="277"/>
      <c r="AZ401" s="343"/>
      <c r="BA401" s="533"/>
    </row>
    <row r="402" spans="1:53" s="262" customFormat="1" ht="75">
      <c r="A402" s="621">
        <v>1</v>
      </c>
      <c r="B402" s="622" t="s">
        <v>1054</v>
      </c>
      <c r="C402" s="243" t="s">
        <v>985</v>
      </c>
      <c r="D402" s="243"/>
      <c r="E402" s="243"/>
      <c r="F402" s="243"/>
      <c r="G402" s="243"/>
      <c r="H402" s="243"/>
      <c r="I402" s="623" t="s">
        <v>984</v>
      </c>
      <c r="J402" s="336">
        <v>206256</v>
      </c>
      <c r="K402" s="336">
        <f>3379+1200</f>
        <v>4579</v>
      </c>
      <c r="L402" s="212"/>
      <c r="M402" s="212"/>
      <c r="N402" s="212"/>
      <c r="O402" s="212"/>
      <c r="P402" s="212"/>
      <c r="Q402" s="212"/>
      <c r="R402" s="212">
        <f>+S402</f>
        <v>4579</v>
      </c>
      <c r="S402" s="212">
        <v>4579</v>
      </c>
      <c r="T402" s="212"/>
      <c r="U402" s="212"/>
      <c r="V402" s="212"/>
      <c r="W402" s="212"/>
      <c r="X402" s="212"/>
      <c r="Y402" s="212"/>
      <c r="Z402" s="212"/>
      <c r="AA402" s="212"/>
      <c r="AB402" s="212"/>
      <c r="AC402" s="212"/>
      <c r="AD402" s="212"/>
      <c r="AE402" s="212"/>
      <c r="AF402" s="212"/>
      <c r="AG402" s="212"/>
      <c r="AH402" s="212"/>
      <c r="AI402" s="212"/>
      <c r="AJ402" s="212"/>
      <c r="AK402" s="212"/>
      <c r="AL402" s="212"/>
      <c r="AM402" s="212"/>
      <c r="AN402" s="212"/>
      <c r="AO402" s="212"/>
      <c r="AP402" s="212"/>
      <c r="AQ402" s="212"/>
      <c r="AR402" s="212"/>
      <c r="AS402" s="212">
        <v>3379</v>
      </c>
      <c r="AT402" s="212">
        <f>+AU402</f>
        <v>3379</v>
      </c>
      <c r="AU402" s="212">
        <v>3379</v>
      </c>
      <c r="AV402" s="212">
        <f>+AW402</f>
        <v>1200</v>
      </c>
      <c r="AW402" s="212">
        <v>1200</v>
      </c>
      <c r="AX402" s="212"/>
      <c r="AY402" s="212"/>
      <c r="AZ402" s="606" t="s">
        <v>986</v>
      </c>
      <c r="BA402" s="201"/>
    </row>
    <row r="403" spans="1:53" s="257" customFormat="1" ht="36.75" customHeight="1">
      <c r="A403" s="559"/>
      <c r="B403" s="236" t="s">
        <v>895</v>
      </c>
      <c r="C403" s="255"/>
      <c r="D403" s="255"/>
      <c r="E403" s="255"/>
      <c r="F403" s="255"/>
      <c r="G403" s="255"/>
      <c r="H403" s="255"/>
      <c r="I403" s="283"/>
      <c r="J403" s="277">
        <f>J404</f>
        <v>479827</v>
      </c>
      <c r="K403" s="277">
        <f t="shared" ref="K403:AW403" si="624">K404</f>
        <v>8584</v>
      </c>
      <c r="L403" s="277">
        <f t="shared" si="624"/>
        <v>0</v>
      </c>
      <c r="M403" s="277">
        <f t="shared" si="624"/>
        <v>0</v>
      </c>
      <c r="N403" s="277">
        <f t="shared" si="624"/>
        <v>0</v>
      </c>
      <c r="O403" s="277">
        <f t="shared" si="624"/>
        <v>0</v>
      </c>
      <c r="P403" s="277">
        <f t="shared" si="624"/>
        <v>0</v>
      </c>
      <c r="Q403" s="277">
        <f t="shared" si="624"/>
        <v>0</v>
      </c>
      <c r="R403" s="277">
        <f t="shared" si="624"/>
        <v>77636</v>
      </c>
      <c r="S403" s="277">
        <f t="shared" si="624"/>
        <v>8500</v>
      </c>
      <c r="T403" s="277">
        <f t="shared" si="624"/>
        <v>0</v>
      </c>
      <c r="U403" s="277">
        <f t="shared" si="624"/>
        <v>0</v>
      </c>
      <c r="V403" s="277">
        <f t="shared" si="624"/>
        <v>0</v>
      </c>
      <c r="W403" s="277">
        <f t="shared" si="624"/>
        <v>0</v>
      </c>
      <c r="X403" s="277">
        <f t="shared" si="624"/>
        <v>0</v>
      </c>
      <c r="Y403" s="277">
        <f t="shared" si="624"/>
        <v>0</v>
      </c>
      <c r="Z403" s="277">
        <f t="shared" si="624"/>
        <v>0</v>
      </c>
      <c r="AA403" s="277">
        <f t="shared" si="624"/>
        <v>2000</v>
      </c>
      <c r="AB403" s="277">
        <f t="shared" si="624"/>
        <v>2000</v>
      </c>
      <c r="AC403" s="277">
        <f t="shared" si="624"/>
        <v>0</v>
      </c>
      <c r="AD403" s="277">
        <f t="shared" si="624"/>
        <v>0</v>
      </c>
      <c r="AE403" s="277">
        <f t="shared" si="624"/>
        <v>0</v>
      </c>
      <c r="AF403" s="277">
        <f t="shared" si="624"/>
        <v>0</v>
      </c>
      <c r="AG403" s="277">
        <f t="shared" si="624"/>
        <v>2000</v>
      </c>
      <c r="AH403" s="277">
        <f t="shared" si="624"/>
        <v>2000</v>
      </c>
      <c r="AI403" s="277">
        <f t="shared" si="624"/>
        <v>0</v>
      </c>
      <c r="AJ403" s="277">
        <f t="shared" si="624"/>
        <v>0</v>
      </c>
      <c r="AK403" s="277">
        <f t="shared" si="624"/>
        <v>2233</v>
      </c>
      <c r="AL403" s="277">
        <f t="shared" si="624"/>
        <v>2233</v>
      </c>
      <c r="AM403" s="277">
        <f t="shared" si="624"/>
        <v>0</v>
      </c>
      <c r="AN403" s="277">
        <f t="shared" si="624"/>
        <v>0</v>
      </c>
      <c r="AO403" s="277">
        <f t="shared" si="624"/>
        <v>2233</v>
      </c>
      <c r="AP403" s="277">
        <f t="shared" si="624"/>
        <v>2233</v>
      </c>
      <c r="AQ403" s="277">
        <f t="shared" si="624"/>
        <v>0</v>
      </c>
      <c r="AR403" s="277">
        <f t="shared" si="624"/>
        <v>0</v>
      </c>
      <c r="AS403" s="277">
        <f t="shared" si="624"/>
        <v>0</v>
      </c>
      <c r="AT403" s="277">
        <f t="shared" si="624"/>
        <v>4233</v>
      </c>
      <c r="AU403" s="277">
        <f t="shared" si="624"/>
        <v>4233</v>
      </c>
      <c r="AV403" s="277">
        <f t="shared" si="624"/>
        <v>4267</v>
      </c>
      <c r="AW403" s="277">
        <f t="shared" si="624"/>
        <v>4267</v>
      </c>
      <c r="AX403" s="277"/>
      <c r="AY403" s="277"/>
      <c r="AZ403" s="343"/>
      <c r="BA403" s="533"/>
    </row>
    <row r="404" spans="1:53" s="262" customFormat="1" ht="46.5" customHeight="1">
      <c r="A404" s="331">
        <v>1</v>
      </c>
      <c r="B404" s="281" t="s">
        <v>603</v>
      </c>
      <c r="C404" s="243" t="s">
        <v>544</v>
      </c>
      <c r="D404" s="243"/>
      <c r="E404" s="243"/>
      <c r="F404" s="243"/>
      <c r="G404" s="243"/>
      <c r="H404" s="243"/>
      <c r="I404" s="319" t="s">
        <v>793</v>
      </c>
      <c r="J404" s="613">
        <v>479827</v>
      </c>
      <c r="K404" s="336">
        <v>8584</v>
      </c>
      <c r="L404" s="212">
        <v>0</v>
      </c>
      <c r="M404" s="212">
        <v>0</v>
      </c>
      <c r="N404" s="212"/>
      <c r="O404" s="212"/>
      <c r="P404" s="212">
        <f t="shared" ref="P404" si="625">L404+W404</f>
        <v>0</v>
      </c>
      <c r="Q404" s="212">
        <f t="shared" ref="Q404" si="626">M404+X404</f>
        <v>0</v>
      </c>
      <c r="R404" s="212">
        <v>77636</v>
      </c>
      <c r="S404" s="212">
        <v>8500</v>
      </c>
      <c r="T404" s="212">
        <f>R7298</f>
        <v>0</v>
      </c>
      <c r="U404" s="212"/>
      <c r="V404" s="212"/>
      <c r="W404" s="212"/>
      <c r="X404" s="212"/>
      <c r="Y404" s="212"/>
      <c r="Z404" s="212"/>
      <c r="AA404" s="212">
        <v>2000</v>
      </c>
      <c r="AB404" s="212">
        <v>2000</v>
      </c>
      <c r="AC404" s="212"/>
      <c r="AD404" s="212"/>
      <c r="AE404" s="212"/>
      <c r="AF404" s="212"/>
      <c r="AG404" s="212">
        <f t="shared" ref="AG404:AG411" si="627">W404+AA404</f>
        <v>2000</v>
      </c>
      <c r="AH404" s="212">
        <f t="shared" ref="AH404:AH411" si="628">X404+AB404</f>
        <v>2000</v>
      </c>
      <c r="AI404" s="212"/>
      <c r="AJ404" s="212"/>
      <c r="AK404" s="212">
        <f t="shared" si="573"/>
        <v>2233</v>
      </c>
      <c r="AL404" s="212">
        <f t="shared" si="574"/>
        <v>2233</v>
      </c>
      <c r="AM404" s="212">
        <f t="shared" si="575"/>
        <v>0</v>
      </c>
      <c r="AN404" s="212">
        <f t="shared" si="576"/>
        <v>0</v>
      </c>
      <c r="AO404" s="212">
        <f>AP404</f>
        <v>2233</v>
      </c>
      <c r="AP404" s="212">
        <v>2233</v>
      </c>
      <c r="AQ404" s="212"/>
      <c r="AR404" s="212"/>
      <c r="AS404" s="212"/>
      <c r="AT404" s="212">
        <f>AG404+AO404</f>
        <v>4233</v>
      </c>
      <c r="AU404" s="212">
        <f>AH404+AP404</f>
        <v>4233</v>
      </c>
      <c r="AV404" s="212">
        <f>AW404</f>
        <v>4267</v>
      </c>
      <c r="AW404" s="212">
        <f>S404-AU404</f>
        <v>4267</v>
      </c>
      <c r="AX404" s="212"/>
      <c r="AY404" s="212"/>
      <c r="AZ404" s="326"/>
      <c r="BA404" s="201"/>
    </row>
    <row r="405" spans="1:53" s="232" customFormat="1" ht="36" customHeight="1">
      <c r="A405" s="345" t="s">
        <v>48</v>
      </c>
      <c r="B405" s="347" t="s">
        <v>604</v>
      </c>
      <c r="C405" s="229"/>
      <c r="D405" s="229"/>
      <c r="E405" s="229"/>
      <c r="F405" s="229"/>
      <c r="G405" s="229"/>
      <c r="H405" s="229"/>
      <c r="I405" s="231"/>
      <c r="J405" s="242">
        <v>282000</v>
      </c>
      <c r="K405" s="215">
        <v>55000</v>
      </c>
      <c r="L405" s="215"/>
      <c r="M405" s="215"/>
      <c r="N405" s="215"/>
      <c r="O405" s="215"/>
      <c r="P405" s="212">
        <f t="shared" ref="P405:Q407" si="629">L405+W405</f>
        <v>0</v>
      </c>
      <c r="Q405" s="212">
        <f t="shared" si="629"/>
        <v>0</v>
      </c>
      <c r="R405" s="215">
        <v>282000</v>
      </c>
      <c r="S405" s="215">
        <v>3800</v>
      </c>
      <c r="T405" s="215"/>
      <c r="U405" s="215"/>
      <c r="V405" s="215"/>
      <c r="W405" s="215"/>
      <c r="X405" s="215"/>
      <c r="Y405" s="215"/>
      <c r="Z405" s="215"/>
      <c r="AA405" s="215"/>
      <c r="AB405" s="215"/>
      <c r="AC405" s="215"/>
      <c r="AD405" s="215"/>
      <c r="AE405" s="215">
        <f>AD405</f>
        <v>0</v>
      </c>
      <c r="AF405" s="215">
        <f>AE405</f>
        <v>0</v>
      </c>
      <c r="AG405" s="215">
        <f t="shared" si="627"/>
        <v>0</v>
      </c>
      <c r="AH405" s="215">
        <f t="shared" si="628"/>
        <v>0</v>
      </c>
      <c r="AI405" s="215"/>
      <c r="AJ405" s="215"/>
      <c r="AK405" s="215">
        <f t="shared" ref="AK405:AK428" si="630">AO405</f>
        <v>9000</v>
      </c>
      <c r="AL405" s="215">
        <f t="shared" ref="AL405:AL428" si="631">AP405</f>
        <v>9000</v>
      </c>
      <c r="AM405" s="215">
        <f t="shared" ref="AM405:AM428" si="632">AQ405</f>
        <v>0</v>
      </c>
      <c r="AN405" s="215">
        <f t="shared" ref="AN405:AN428" si="633">AR405</f>
        <v>0</v>
      </c>
      <c r="AO405" s="348">
        <f>AP405</f>
        <v>9000</v>
      </c>
      <c r="AP405" s="348">
        <v>9000</v>
      </c>
      <c r="AQ405" s="348"/>
      <c r="AR405" s="348"/>
      <c r="AS405" s="348"/>
      <c r="AT405" s="215"/>
      <c r="AU405" s="215"/>
      <c r="AV405" s="348">
        <f>AW405</f>
        <v>3800</v>
      </c>
      <c r="AW405" s="348">
        <v>3800</v>
      </c>
      <c r="AX405" s="348"/>
      <c r="AY405" s="348"/>
      <c r="AZ405" s="349"/>
    </row>
    <row r="406" spans="1:53" s="251" customFormat="1" ht="36" customHeight="1">
      <c r="A406" s="345" t="s">
        <v>180</v>
      </c>
      <c r="B406" s="347" t="s">
        <v>889</v>
      </c>
      <c r="C406" s="229"/>
      <c r="D406" s="229"/>
      <c r="E406" s="229"/>
      <c r="F406" s="229"/>
      <c r="G406" s="229"/>
      <c r="H406" s="229"/>
      <c r="I406" s="231"/>
      <c r="J406" s="242">
        <f>J407+J408</f>
        <v>237441</v>
      </c>
      <c r="K406" s="242">
        <f t="shared" ref="K406:AW406" si="634">K407+K408</f>
        <v>15489</v>
      </c>
      <c r="L406" s="242">
        <f t="shared" si="634"/>
        <v>0</v>
      </c>
      <c r="M406" s="242">
        <f t="shared" si="634"/>
        <v>0</v>
      </c>
      <c r="N406" s="242">
        <f t="shared" si="634"/>
        <v>0</v>
      </c>
      <c r="O406" s="242">
        <f t="shared" si="634"/>
        <v>0</v>
      </c>
      <c r="P406" s="242">
        <f t="shared" si="634"/>
        <v>0</v>
      </c>
      <c r="Q406" s="242">
        <f t="shared" si="634"/>
        <v>0</v>
      </c>
      <c r="R406" s="242">
        <f t="shared" si="634"/>
        <v>248141</v>
      </c>
      <c r="S406" s="242">
        <f t="shared" si="634"/>
        <v>16509</v>
      </c>
      <c r="T406" s="242">
        <f t="shared" si="634"/>
        <v>0</v>
      </c>
      <c r="U406" s="242">
        <f t="shared" si="634"/>
        <v>0</v>
      </c>
      <c r="V406" s="242">
        <f t="shared" si="634"/>
        <v>0</v>
      </c>
      <c r="W406" s="242">
        <f t="shared" si="634"/>
        <v>0</v>
      </c>
      <c r="X406" s="242">
        <f t="shared" si="634"/>
        <v>0</v>
      </c>
      <c r="Y406" s="242">
        <f t="shared" si="634"/>
        <v>0</v>
      </c>
      <c r="Z406" s="242">
        <f t="shared" si="634"/>
        <v>0</v>
      </c>
      <c r="AA406" s="242">
        <f t="shared" si="634"/>
        <v>2000</v>
      </c>
      <c r="AB406" s="242">
        <f t="shared" si="634"/>
        <v>2000</v>
      </c>
      <c r="AC406" s="242">
        <f t="shared" si="634"/>
        <v>0</v>
      </c>
      <c r="AD406" s="242">
        <f t="shared" si="634"/>
        <v>0</v>
      </c>
      <c r="AE406" s="242">
        <f t="shared" si="634"/>
        <v>0</v>
      </c>
      <c r="AF406" s="242">
        <f t="shared" si="634"/>
        <v>0</v>
      </c>
      <c r="AG406" s="242">
        <f t="shared" si="634"/>
        <v>2000</v>
      </c>
      <c r="AH406" s="242">
        <f t="shared" si="634"/>
        <v>2000</v>
      </c>
      <c r="AI406" s="242">
        <f t="shared" si="634"/>
        <v>0</v>
      </c>
      <c r="AJ406" s="242">
        <f t="shared" si="634"/>
        <v>0</v>
      </c>
      <c r="AK406" s="242">
        <f t="shared" si="634"/>
        <v>5000</v>
      </c>
      <c r="AL406" s="242">
        <f t="shared" si="634"/>
        <v>5000</v>
      </c>
      <c r="AM406" s="242">
        <f t="shared" si="634"/>
        <v>0</v>
      </c>
      <c r="AN406" s="242">
        <f t="shared" si="634"/>
        <v>0</v>
      </c>
      <c r="AO406" s="242">
        <f t="shared" si="634"/>
        <v>5000</v>
      </c>
      <c r="AP406" s="242">
        <f t="shared" si="634"/>
        <v>5000</v>
      </c>
      <c r="AQ406" s="242">
        <f t="shared" si="634"/>
        <v>0</v>
      </c>
      <c r="AR406" s="242">
        <f t="shared" si="634"/>
        <v>0</v>
      </c>
      <c r="AS406" s="242">
        <f t="shared" si="634"/>
        <v>0</v>
      </c>
      <c r="AT406" s="242">
        <f t="shared" si="634"/>
        <v>7000</v>
      </c>
      <c r="AU406" s="242">
        <f t="shared" si="634"/>
        <v>7000</v>
      </c>
      <c r="AV406" s="242">
        <f t="shared" si="634"/>
        <v>9509</v>
      </c>
      <c r="AW406" s="242">
        <f t="shared" si="634"/>
        <v>9509</v>
      </c>
      <c r="AX406" s="242"/>
      <c r="AY406" s="348"/>
      <c r="AZ406" s="349"/>
      <c r="BA406" s="232"/>
    </row>
    <row r="407" spans="1:53" ht="45.75" customHeight="1">
      <c r="A407" s="544">
        <v>1</v>
      </c>
      <c r="B407" s="545" t="s">
        <v>605</v>
      </c>
      <c r="C407" s="303"/>
      <c r="D407" s="303"/>
      <c r="E407" s="303"/>
      <c r="F407" s="303"/>
      <c r="G407" s="303"/>
      <c r="H407" s="303"/>
      <c r="I407" s="512"/>
      <c r="J407" s="542">
        <v>237441</v>
      </c>
      <c r="K407" s="354">
        <v>15489</v>
      </c>
      <c r="L407" s="354"/>
      <c r="M407" s="354"/>
      <c r="N407" s="354"/>
      <c r="O407" s="354"/>
      <c r="P407" s="354">
        <f t="shared" si="629"/>
        <v>0</v>
      </c>
      <c r="Q407" s="354">
        <f t="shared" si="629"/>
        <v>0</v>
      </c>
      <c r="R407" s="354">
        <v>237441</v>
      </c>
      <c r="S407" s="354">
        <v>15489</v>
      </c>
      <c r="T407" s="354"/>
      <c r="U407" s="354"/>
      <c r="V407" s="354"/>
      <c r="W407" s="354"/>
      <c r="X407" s="354"/>
      <c r="Y407" s="354"/>
      <c r="Z407" s="354"/>
      <c r="AA407" s="354">
        <v>2000</v>
      </c>
      <c r="AB407" s="354">
        <v>2000</v>
      </c>
      <c r="AC407" s="354"/>
      <c r="AD407" s="354"/>
      <c r="AE407" s="354"/>
      <c r="AF407" s="354"/>
      <c r="AG407" s="354">
        <f>W407+AA407</f>
        <v>2000</v>
      </c>
      <c r="AH407" s="354">
        <f t="shared" si="628"/>
        <v>2000</v>
      </c>
      <c r="AI407" s="354"/>
      <c r="AJ407" s="354"/>
      <c r="AK407" s="354">
        <f t="shared" si="630"/>
        <v>5000</v>
      </c>
      <c r="AL407" s="354">
        <f t="shared" si="631"/>
        <v>5000</v>
      </c>
      <c r="AM407" s="354">
        <f t="shared" si="632"/>
        <v>0</v>
      </c>
      <c r="AN407" s="354">
        <f t="shared" si="633"/>
        <v>0</v>
      </c>
      <c r="AO407" s="543">
        <f>AP407</f>
        <v>5000</v>
      </c>
      <c r="AP407" s="543">
        <v>5000</v>
      </c>
      <c r="AQ407" s="543"/>
      <c r="AR407" s="543"/>
      <c r="AS407" s="561"/>
      <c r="AT407" s="212">
        <f>AG407+AO407</f>
        <v>7000</v>
      </c>
      <c r="AU407" s="212">
        <f>AH407+AP407</f>
        <v>7000</v>
      </c>
      <c r="AV407" s="212">
        <f>AW407</f>
        <v>8489</v>
      </c>
      <c r="AW407" s="212">
        <f>S407-AU407</f>
        <v>8489</v>
      </c>
      <c r="AX407" s="561"/>
      <c r="AY407" s="561"/>
      <c r="AZ407" s="546"/>
    </row>
    <row r="408" spans="1:53" s="232" customFormat="1" ht="45.75" customHeight="1">
      <c r="A408" s="544">
        <v>2</v>
      </c>
      <c r="B408" s="545" t="s">
        <v>890</v>
      </c>
      <c r="C408" s="229"/>
      <c r="D408" s="229"/>
      <c r="E408" s="229"/>
      <c r="F408" s="229"/>
      <c r="G408" s="229"/>
      <c r="H408" s="229"/>
      <c r="I408" s="231"/>
      <c r="J408" s="242"/>
      <c r="K408" s="215"/>
      <c r="L408" s="215"/>
      <c r="M408" s="215"/>
      <c r="N408" s="215"/>
      <c r="O408" s="215"/>
      <c r="P408" s="212"/>
      <c r="Q408" s="212"/>
      <c r="R408" s="354">
        <v>10700</v>
      </c>
      <c r="S408" s="354">
        <v>1020</v>
      </c>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348"/>
      <c r="AP408" s="348"/>
      <c r="AQ408" s="348"/>
      <c r="AR408" s="348"/>
      <c r="AS408" s="348"/>
      <c r="AT408" s="215"/>
      <c r="AU408" s="215"/>
      <c r="AV408" s="212">
        <f>AW408</f>
        <v>1020</v>
      </c>
      <c r="AW408" s="212">
        <v>1020</v>
      </c>
      <c r="AX408" s="348"/>
      <c r="AY408" s="348"/>
      <c r="AZ408" s="349"/>
    </row>
    <row r="409" spans="1:53" s="251" customFormat="1" ht="78" customHeight="1">
      <c r="A409" s="345" t="s">
        <v>136</v>
      </c>
      <c r="B409" s="346" t="s">
        <v>908</v>
      </c>
      <c r="C409" s="229"/>
      <c r="D409" s="229"/>
      <c r="E409" s="229"/>
      <c r="F409" s="229"/>
      <c r="G409" s="229"/>
      <c r="H409" s="229"/>
      <c r="I409" s="231"/>
      <c r="J409" s="242"/>
      <c r="K409" s="215"/>
      <c r="L409" s="215"/>
      <c r="M409" s="215"/>
      <c r="N409" s="215"/>
      <c r="O409" s="215"/>
      <c r="P409" s="215"/>
      <c r="Q409" s="215"/>
      <c r="R409" s="215">
        <f>S409</f>
        <v>20000</v>
      </c>
      <c r="S409" s="215">
        <v>20000</v>
      </c>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348"/>
      <c r="AP409" s="348"/>
      <c r="AQ409" s="348"/>
      <c r="AR409" s="348"/>
      <c r="AS409" s="348"/>
      <c r="AT409" s="215"/>
      <c r="AU409" s="215"/>
      <c r="AV409" s="215">
        <f>AW409</f>
        <v>17000</v>
      </c>
      <c r="AW409" s="215">
        <v>17000</v>
      </c>
      <c r="AX409" s="348"/>
      <c r="AY409" s="348"/>
      <c r="AZ409" s="349"/>
      <c r="BA409" s="232"/>
    </row>
    <row r="410" spans="1:53" s="232" customFormat="1" ht="40.5" customHeight="1">
      <c r="A410" s="350" t="s">
        <v>606</v>
      </c>
      <c r="B410" s="351" t="s">
        <v>607</v>
      </c>
      <c r="C410" s="229"/>
      <c r="D410" s="229"/>
      <c r="E410" s="229"/>
      <c r="F410" s="229"/>
      <c r="G410" s="229"/>
      <c r="H410" s="229"/>
      <c r="I410" s="231"/>
      <c r="J410" s="215">
        <f>J411+J412</f>
        <v>253355.8</v>
      </c>
      <c r="K410" s="215">
        <f t="shared" ref="K410:AV410" si="635">K411+K412</f>
        <v>40904.6</v>
      </c>
      <c r="L410" s="215">
        <f t="shared" si="635"/>
        <v>28363.69</v>
      </c>
      <c r="M410" s="215">
        <f t="shared" si="635"/>
        <v>4263</v>
      </c>
      <c r="N410" s="215">
        <f t="shared" si="635"/>
        <v>0</v>
      </c>
      <c r="O410" s="215">
        <f t="shared" si="635"/>
        <v>0</v>
      </c>
      <c r="P410" s="215">
        <f t="shared" si="635"/>
        <v>29363.69</v>
      </c>
      <c r="Q410" s="215">
        <f t="shared" si="635"/>
        <v>5263</v>
      </c>
      <c r="R410" s="215">
        <f t="shared" si="635"/>
        <v>172092.79999999999</v>
      </c>
      <c r="S410" s="215">
        <f t="shared" si="635"/>
        <v>16737</v>
      </c>
      <c r="T410" s="215">
        <f t="shared" si="635"/>
        <v>0</v>
      </c>
      <c r="U410" s="215">
        <f t="shared" si="635"/>
        <v>0</v>
      </c>
      <c r="V410" s="215">
        <f t="shared" si="635"/>
        <v>0</v>
      </c>
      <c r="W410" s="215">
        <f t="shared" si="635"/>
        <v>1000</v>
      </c>
      <c r="X410" s="215">
        <f t="shared" si="635"/>
        <v>1000</v>
      </c>
      <c r="Y410" s="215">
        <f t="shared" si="635"/>
        <v>0</v>
      </c>
      <c r="Z410" s="215">
        <f t="shared" si="635"/>
        <v>0</v>
      </c>
      <c r="AA410" s="215">
        <f t="shared" si="635"/>
        <v>1200</v>
      </c>
      <c r="AB410" s="215">
        <f t="shared" si="635"/>
        <v>1200</v>
      </c>
      <c r="AC410" s="215">
        <f t="shared" si="635"/>
        <v>0</v>
      </c>
      <c r="AD410" s="215">
        <f t="shared" si="635"/>
        <v>0</v>
      </c>
      <c r="AE410" s="215">
        <f t="shared" si="635"/>
        <v>0</v>
      </c>
      <c r="AF410" s="215">
        <f t="shared" si="635"/>
        <v>0</v>
      </c>
      <c r="AG410" s="215">
        <f t="shared" si="635"/>
        <v>2200</v>
      </c>
      <c r="AH410" s="215">
        <f t="shared" si="635"/>
        <v>2200</v>
      </c>
      <c r="AI410" s="215">
        <f t="shared" si="635"/>
        <v>0</v>
      </c>
      <c r="AJ410" s="215">
        <f t="shared" si="635"/>
        <v>0</v>
      </c>
      <c r="AK410" s="215">
        <f t="shared" si="635"/>
        <v>1500</v>
      </c>
      <c r="AL410" s="215">
        <f t="shared" si="635"/>
        <v>1500</v>
      </c>
      <c r="AM410" s="215">
        <f t="shared" si="635"/>
        <v>0</v>
      </c>
      <c r="AN410" s="215">
        <f t="shared" si="635"/>
        <v>0</v>
      </c>
      <c r="AO410" s="215">
        <f t="shared" si="635"/>
        <v>9500</v>
      </c>
      <c r="AP410" s="215">
        <f t="shared" si="635"/>
        <v>9500</v>
      </c>
      <c r="AQ410" s="215">
        <f t="shared" si="635"/>
        <v>0</v>
      </c>
      <c r="AR410" s="215">
        <f t="shared" si="635"/>
        <v>0</v>
      </c>
      <c r="AS410" s="215">
        <f t="shared" si="635"/>
        <v>8000</v>
      </c>
      <c r="AT410" s="215">
        <f t="shared" si="635"/>
        <v>11700</v>
      </c>
      <c r="AU410" s="215">
        <f t="shared" si="635"/>
        <v>11700</v>
      </c>
      <c r="AV410" s="215">
        <f t="shared" si="635"/>
        <v>5037</v>
      </c>
      <c r="AW410" s="215">
        <f>AW411+AW412</f>
        <v>5037</v>
      </c>
      <c r="AX410" s="215"/>
      <c r="AY410" s="215"/>
      <c r="AZ410" s="340"/>
    </row>
    <row r="411" spans="1:53" s="251" customFormat="1" ht="36.6" customHeight="1">
      <c r="A411" s="340" t="s">
        <v>32</v>
      </c>
      <c r="B411" s="352" t="s">
        <v>930</v>
      </c>
      <c r="C411" s="229"/>
      <c r="D411" s="229"/>
      <c r="E411" s="229"/>
      <c r="F411" s="229"/>
      <c r="G411" s="229"/>
      <c r="H411" s="229"/>
      <c r="I411" s="231" t="s">
        <v>929</v>
      </c>
      <c r="J411" s="215">
        <v>86000</v>
      </c>
      <c r="K411" s="215">
        <v>4737</v>
      </c>
      <c r="L411" s="215">
        <v>28363.69</v>
      </c>
      <c r="M411" s="215">
        <v>4263</v>
      </c>
      <c r="N411" s="215"/>
      <c r="O411" s="215"/>
      <c r="P411" s="215">
        <f t="shared" ref="P411:Q411" si="636">L411+W411</f>
        <v>29363.69</v>
      </c>
      <c r="Q411" s="215">
        <f t="shared" si="636"/>
        <v>5263</v>
      </c>
      <c r="R411" s="215">
        <v>4737</v>
      </c>
      <c r="S411" s="215">
        <v>4737</v>
      </c>
      <c r="T411" s="215"/>
      <c r="U411" s="215"/>
      <c r="V411" s="215"/>
      <c r="W411" s="215">
        <v>1000</v>
      </c>
      <c r="X411" s="215">
        <v>1000</v>
      </c>
      <c r="Y411" s="215"/>
      <c r="Z411" s="215"/>
      <c r="AA411" s="215">
        <v>1200</v>
      </c>
      <c r="AB411" s="215">
        <v>1200</v>
      </c>
      <c r="AC411" s="215"/>
      <c r="AD411" s="215"/>
      <c r="AE411" s="215"/>
      <c r="AF411" s="215"/>
      <c r="AG411" s="215">
        <f t="shared" si="627"/>
        <v>2200</v>
      </c>
      <c r="AH411" s="215">
        <f t="shared" si="628"/>
        <v>2200</v>
      </c>
      <c r="AI411" s="215"/>
      <c r="AJ411" s="215"/>
      <c r="AK411" s="215">
        <f t="shared" si="630"/>
        <v>1500</v>
      </c>
      <c r="AL411" s="215">
        <f t="shared" si="631"/>
        <v>1500</v>
      </c>
      <c r="AM411" s="215">
        <f t="shared" si="632"/>
        <v>0</v>
      </c>
      <c r="AN411" s="215">
        <f t="shared" si="633"/>
        <v>0</v>
      </c>
      <c r="AO411" s="215">
        <f>AP411</f>
        <v>1500</v>
      </c>
      <c r="AP411" s="215">
        <v>1500</v>
      </c>
      <c r="AQ411" s="215"/>
      <c r="AR411" s="215"/>
      <c r="AS411" s="215"/>
      <c r="AT411" s="215">
        <f>AG411+AO411</f>
        <v>3700</v>
      </c>
      <c r="AU411" s="215">
        <f>AH411+AP411</f>
        <v>3700</v>
      </c>
      <c r="AV411" s="215">
        <f>AW411</f>
        <v>1037</v>
      </c>
      <c r="AW411" s="215">
        <f>S411-AU411</f>
        <v>1037</v>
      </c>
      <c r="AX411" s="215"/>
      <c r="AY411" s="215"/>
      <c r="AZ411" s="340" t="s">
        <v>643</v>
      </c>
      <c r="BA411" s="232"/>
    </row>
    <row r="412" spans="1:53" s="232" customFormat="1" ht="54.75" customHeight="1">
      <c r="A412" s="297" t="s">
        <v>48</v>
      </c>
      <c r="B412" s="346" t="s">
        <v>649</v>
      </c>
      <c r="C412" s="229"/>
      <c r="D412" s="229"/>
      <c r="E412" s="229"/>
      <c r="F412" s="229"/>
      <c r="G412" s="229"/>
      <c r="H412" s="229"/>
      <c r="I412" s="512" t="s">
        <v>608</v>
      </c>
      <c r="J412" s="215">
        <f>J414</f>
        <v>167355.79999999999</v>
      </c>
      <c r="K412" s="215">
        <f t="shared" ref="K412:AW412" si="637">K414</f>
        <v>36167.599999999999</v>
      </c>
      <c r="L412" s="215">
        <f t="shared" si="637"/>
        <v>0</v>
      </c>
      <c r="M412" s="215">
        <f t="shared" si="637"/>
        <v>0</v>
      </c>
      <c r="N412" s="215">
        <f t="shared" si="637"/>
        <v>0</v>
      </c>
      <c r="O412" s="215">
        <f t="shared" si="637"/>
        <v>0</v>
      </c>
      <c r="P412" s="215">
        <f t="shared" si="637"/>
        <v>0</v>
      </c>
      <c r="Q412" s="215">
        <f t="shared" si="637"/>
        <v>0</v>
      </c>
      <c r="R412" s="215">
        <f t="shared" si="637"/>
        <v>167355.79999999999</v>
      </c>
      <c r="S412" s="215">
        <f t="shared" si="637"/>
        <v>12000</v>
      </c>
      <c r="T412" s="215">
        <f t="shared" si="637"/>
        <v>0</v>
      </c>
      <c r="U412" s="215">
        <f t="shared" si="637"/>
        <v>0</v>
      </c>
      <c r="V412" s="215">
        <f t="shared" si="637"/>
        <v>0</v>
      </c>
      <c r="W412" s="215">
        <f t="shared" si="637"/>
        <v>0</v>
      </c>
      <c r="X412" s="215">
        <f t="shared" si="637"/>
        <v>0</v>
      </c>
      <c r="Y412" s="215">
        <f t="shared" si="637"/>
        <v>0</v>
      </c>
      <c r="Z412" s="215">
        <f t="shared" si="637"/>
        <v>0</v>
      </c>
      <c r="AA412" s="215">
        <f t="shared" si="637"/>
        <v>0</v>
      </c>
      <c r="AB412" s="215">
        <f t="shared" si="637"/>
        <v>0</v>
      </c>
      <c r="AC412" s="215">
        <f t="shared" si="637"/>
        <v>0</v>
      </c>
      <c r="AD412" s="215">
        <f t="shared" si="637"/>
        <v>0</v>
      </c>
      <c r="AE412" s="215">
        <f t="shared" si="637"/>
        <v>0</v>
      </c>
      <c r="AF412" s="215">
        <f t="shared" si="637"/>
        <v>0</v>
      </c>
      <c r="AG412" s="215">
        <f t="shared" si="637"/>
        <v>0</v>
      </c>
      <c r="AH412" s="215">
        <f t="shared" si="637"/>
        <v>0</v>
      </c>
      <c r="AI412" s="215">
        <f t="shared" si="637"/>
        <v>0</v>
      </c>
      <c r="AJ412" s="215">
        <f t="shared" si="637"/>
        <v>0</v>
      </c>
      <c r="AK412" s="215">
        <f t="shared" si="637"/>
        <v>0</v>
      </c>
      <c r="AL412" s="215">
        <f t="shared" si="637"/>
        <v>0</v>
      </c>
      <c r="AM412" s="215">
        <f t="shared" si="637"/>
        <v>0</v>
      </c>
      <c r="AN412" s="215">
        <f t="shared" si="637"/>
        <v>0</v>
      </c>
      <c r="AO412" s="215">
        <f t="shared" si="637"/>
        <v>8000</v>
      </c>
      <c r="AP412" s="215">
        <f t="shared" si="637"/>
        <v>8000</v>
      </c>
      <c r="AQ412" s="215">
        <f t="shared" si="637"/>
        <v>0</v>
      </c>
      <c r="AR412" s="215">
        <f t="shared" si="637"/>
        <v>0</v>
      </c>
      <c r="AS412" s="215">
        <f t="shared" si="637"/>
        <v>8000</v>
      </c>
      <c r="AT412" s="215">
        <f t="shared" si="637"/>
        <v>8000</v>
      </c>
      <c r="AU412" s="215">
        <f t="shared" si="637"/>
        <v>8000</v>
      </c>
      <c r="AV412" s="215">
        <f t="shared" si="637"/>
        <v>4000</v>
      </c>
      <c r="AW412" s="215">
        <f t="shared" si="637"/>
        <v>4000</v>
      </c>
      <c r="AX412" s="215"/>
      <c r="AY412" s="215"/>
      <c r="AZ412" s="340"/>
    </row>
    <row r="413" spans="1:53" s="262" customFormat="1" ht="57" hidden="1" customHeight="1">
      <c r="A413" s="294">
        <v>1</v>
      </c>
      <c r="B413" s="344" t="s">
        <v>650</v>
      </c>
      <c r="C413" s="243" t="s">
        <v>350</v>
      </c>
      <c r="D413" s="243"/>
      <c r="E413" s="243"/>
      <c r="F413" s="243"/>
      <c r="G413" s="243"/>
      <c r="H413" s="243"/>
      <c r="I413" s="248" t="s">
        <v>609</v>
      </c>
      <c r="J413" s="212">
        <v>7344.1483879999996</v>
      </c>
      <c r="K413" s="212">
        <v>1365.4723489999999</v>
      </c>
      <c r="L413" s="212"/>
      <c r="M413" s="212"/>
      <c r="N413" s="212"/>
      <c r="O413" s="212"/>
      <c r="P413" s="212">
        <f t="shared" ref="P413:Q413" si="638">L413+W413</f>
        <v>0</v>
      </c>
      <c r="Q413" s="212">
        <f t="shared" si="638"/>
        <v>0</v>
      </c>
      <c r="R413" s="212">
        <v>7344.1483879999996</v>
      </c>
      <c r="S413" s="212">
        <v>1365.4723489999999</v>
      </c>
      <c r="T413" s="212"/>
      <c r="U413" s="212"/>
      <c r="V413" s="212">
        <v>603</v>
      </c>
      <c r="W413" s="212"/>
      <c r="X413" s="212"/>
      <c r="Y413" s="212"/>
      <c r="Z413" s="212"/>
      <c r="AA413" s="212">
        <f>AB413</f>
        <v>885</v>
      </c>
      <c r="AB413" s="212">
        <v>885</v>
      </c>
      <c r="AC413" s="212"/>
      <c r="AD413" s="212"/>
      <c r="AE413" s="273">
        <f>AF413</f>
        <v>603</v>
      </c>
      <c r="AF413" s="273">
        <v>603</v>
      </c>
      <c r="AG413" s="212">
        <f t="shared" ref="AG413:AG466" si="639">W413+AA413</f>
        <v>885</v>
      </c>
      <c r="AH413" s="212">
        <f t="shared" ref="AH413:AH466" si="640">X413+AB413</f>
        <v>885</v>
      </c>
      <c r="AI413" s="212"/>
      <c r="AJ413" s="212"/>
      <c r="AK413" s="212">
        <f t="shared" si="630"/>
        <v>480</v>
      </c>
      <c r="AL413" s="212">
        <f t="shared" si="631"/>
        <v>480</v>
      </c>
      <c r="AM413" s="212">
        <f t="shared" si="632"/>
        <v>0</v>
      </c>
      <c r="AN413" s="212">
        <f t="shared" si="633"/>
        <v>0</v>
      </c>
      <c r="AO413" s="212">
        <f>AP413</f>
        <v>480</v>
      </c>
      <c r="AP413" s="212">
        <v>480</v>
      </c>
      <c r="AQ413" s="212">
        <v>0</v>
      </c>
      <c r="AR413" s="212">
        <v>0</v>
      </c>
      <c r="AS413" s="212"/>
      <c r="AT413" s="212"/>
      <c r="AU413" s="212"/>
      <c r="AV413" s="212"/>
      <c r="AW413" s="212"/>
      <c r="AX413" s="212"/>
      <c r="AY413" s="212"/>
      <c r="AZ413" s="326"/>
      <c r="BA413" s="201"/>
    </row>
    <row r="414" spans="1:53" s="262" customFormat="1" ht="57" customHeight="1">
      <c r="A414" s="294">
        <v>1</v>
      </c>
      <c r="B414" s="344" t="s">
        <v>800</v>
      </c>
      <c r="C414" s="243"/>
      <c r="D414" s="243"/>
      <c r="E414" s="243" t="s">
        <v>841</v>
      </c>
      <c r="F414" s="243"/>
      <c r="G414" s="243"/>
      <c r="H414" s="243" t="s">
        <v>676</v>
      </c>
      <c r="I414" s="248" t="s">
        <v>801</v>
      </c>
      <c r="J414" s="212">
        <v>167355.79999999999</v>
      </c>
      <c r="K414" s="212">
        <v>36167.599999999999</v>
      </c>
      <c r="L414" s="212"/>
      <c r="M414" s="212"/>
      <c r="N414" s="212"/>
      <c r="O414" s="212"/>
      <c r="P414" s="212"/>
      <c r="Q414" s="212"/>
      <c r="R414" s="212">
        <f>J414</f>
        <v>167355.79999999999</v>
      </c>
      <c r="S414" s="212">
        <v>12000</v>
      </c>
      <c r="T414" s="212"/>
      <c r="U414" s="212"/>
      <c r="V414" s="212"/>
      <c r="W414" s="212"/>
      <c r="X414" s="212"/>
      <c r="Y414" s="212"/>
      <c r="Z414" s="212"/>
      <c r="AA414" s="212"/>
      <c r="AB414" s="212"/>
      <c r="AC414" s="212"/>
      <c r="AD414" s="212"/>
      <c r="AE414" s="273"/>
      <c r="AF414" s="273"/>
      <c r="AG414" s="212"/>
      <c r="AH414" s="212"/>
      <c r="AI414" s="212"/>
      <c r="AJ414" s="212"/>
      <c r="AK414" s="212"/>
      <c r="AL414" s="212"/>
      <c r="AM414" s="212"/>
      <c r="AN414" s="212"/>
      <c r="AO414" s="212">
        <f>AP414</f>
        <v>8000</v>
      </c>
      <c r="AP414" s="212">
        <v>8000</v>
      </c>
      <c r="AQ414" s="212"/>
      <c r="AR414" s="212"/>
      <c r="AS414" s="212">
        <v>8000</v>
      </c>
      <c r="AT414" s="212">
        <f>AG414+AO414</f>
        <v>8000</v>
      </c>
      <c r="AU414" s="212">
        <f>AH414+AP414</f>
        <v>8000</v>
      </c>
      <c r="AV414" s="212">
        <f>AW414</f>
        <v>4000</v>
      </c>
      <c r="AW414" s="212">
        <f>S414-AP414</f>
        <v>4000</v>
      </c>
      <c r="AX414" s="212"/>
      <c r="AY414" s="212"/>
      <c r="AZ414" s="326"/>
      <c r="BA414" s="201"/>
    </row>
    <row r="415" spans="1:53" s="251" customFormat="1" ht="39.75" customHeight="1">
      <c r="A415" s="240" t="s">
        <v>610</v>
      </c>
      <c r="B415" s="244" t="s">
        <v>326</v>
      </c>
      <c r="C415" s="229"/>
      <c r="D415" s="229"/>
      <c r="E415" s="229"/>
      <c r="F415" s="229"/>
      <c r="G415" s="229"/>
      <c r="H415" s="229"/>
      <c r="I415" s="231"/>
      <c r="J415" s="242">
        <f>+J416+J429+J431+J432</f>
        <v>1310429.8</v>
      </c>
      <c r="K415" s="242">
        <f t="shared" ref="K415:AY415" si="641">+K416+K429+K431+K432</f>
        <v>314838</v>
      </c>
      <c r="L415" s="242">
        <f t="shared" si="641"/>
        <v>217569</v>
      </c>
      <c r="M415" s="242">
        <f t="shared" si="641"/>
        <v>0</v>
      </c>
      <c r="N415" s="242">
        <f t="shared" si="641"/>
        <v>0</v>
      </c>
      <c r="O415" s="242">
        <f t="shared" si="641"/>
        <v>0</v>
      </c>
      <c r="P415" s="242">
        <f t="shared" si="641"/>
        <v>217569</v>
      </c>
      <c r="Q415" s="242">
        <f t="shared" si="641"/>
        <v>0</v>
      </c>
      <c r="R415" s="242">
        <f t="shared" si="641"/>
        <v>213000</v>
      </c>
      <c r="S415" s="242">
        <f t="shared" si="641"/>
        <v>213000</v>
      </c>
      <c r="T415" s="242">
        <f t="shared" si="641"/>
        <v>0</v>
      </c>
      <c r="U415" s="242">
        <f t="shared" si="641"/>
        <v>0</v>
      </c>
      <c r="V415" s="242">
        <f t="shared" si="641"/>
        <v>726027</v>
      </c>
      <c r="W415" s="242">
        <f t="shared" si="641"/>
        <v>0</v>
      </c>
      <c r="X415" s="242">
        <f t="shared" si="641"/>
        <v>0</v>
      </c>
      <c r="Y415" s="242">
        <f t="shared" si="641"/>
        <v>0</v>
      </c>
      <c r="Z415" s="242">
        <f t="shared" si="641"/>
        <v>0</v>
      </c>
      <c r="AA415" s="242">
        <f t="shared" si="641"/>
        <v>15000</v>
      </c>
      <c r="AB415" s="242">
        <f t="shared" si="641"/>
        <v>15000</v>
      </c>
      <c r="AC415" s="242">
        <f t="shared" si="641"/>
        <v>0</v>
      </c>
      <c r="AD415" s="242">
        <f t="shared" si="641"/>
        <v>0</v>
      </c>
      <c r="AE415" s="242">
        <f t="shared" si="641"/>
        <v>5011.5330000000004</v>
      </c>
      <c r="AF415" s="242">
        <f t="shared" si="641"/>
        <v>11500</v>
      </c>
      <c r="AG415" s="242">
        <f t="shared" si="641"/>
        <v>16018</v>
      </c>
      <c r="AH415" s="242">
        <f t="shared" si="641"/>
        <v>16018</v>
      </c>
      <c r="AI415" s="242">
        <f t="shared" si="641"/>
        <v>0</v>
      </c>
      <c r="AJ415" s="242">
        <f t="shared" si="641"/>
        <v>0</v>
      </c>
      <c r="AK415" s="242">
        <f t="shared" si="641"/>
        <v>99908</v>
      </c>
      <c r="AL415" s="242">
        <f t="shared" si="641"/>
        <v>99908</v>
      </c>
      <c r="AM415" s="242">
        <f t="shared" si="641"/>
        <v>0</v>
      </c>
      <c r="AN415" s="242">
        <f t="shared" si="641"/>
        <v>0</v>
      </c>
      <c r="AO415" s="242">
        <f t="shared" si="641"/>
        <v>50887</v>
      </c>
      <c r="AP415" s="242">
        <f t="shared" si="641"/>
        <v>50887</v>
      </c>
      <c r="AQ415" s="242">
        <f t="shared" si="641"/>
        <v>0</v>
      </c>
      <c r="AR415" s="242">
        <f t="shared" si="641"/>
        <v>0</v>
      </c>
      <c r="AS415" s="242">
        <f t="shared" si="641"/>
        <v>836914</v>
      </c>
      <c r="AT415" s="242">
        <f t="shared" si="641"/>
        <v>66905</v>
      </c>
      <c r="AU415" s="242">
        <f t="shared" si="641"/>
        <v>66905</v>
      </c>
      <c r="AV415" s="242">
        <f t="shared" si="641"/>
        <v>66750</v>
      </c>
      <c r="AW415" s="242">
        <f t="shared" si="641"/>
        <v>66750</v>
      </c>
      <c r="AX415" s="242">
        <f t="shared" si="641"/>
        <v>10000</v>
      </c>
      <c r="AY415" s="242">
        <f t="shared" si="641"/>
        <v>0</v>
      </c>
      <c r="AZ415" s="615">
        <f>+AW416+AW429+AW431+AW432</f>
        <v>66750</v>
      </c>
      <c r="BA415" s="232"/>
    </row>
    <row r="416" spans="1:53" s="262" customFormat="1" ht="74.099999999999994" customHeight="1">
      <c r="A416" s="649">
        <v>1</v>
      </c>
      <c r="B416" s="320" t="s">
        <v>431</v>
      </c>
      <c r="C416" s="319" t="s">
        <v>425</v>
      </c>
      <c r="D416" s="319"/>
      <c r="E416" s="319" t="s">
        <v>818</v>
      </c>
      <c r="F416" s="319"/>
      <c r="G416" s="243" t="s">
        <v>432</v>
      </c>
      <c r="H416" s="243" t="s">
        <v>433</v>
      </c>
      <c r="I416" s="248" t="s">
        <v>434</v>
      </c>
      <c r="J416" s="212">
        <v>355300</v>
      </c>
      <c r="K416" s="212">
        <v>60000</v>
      </c>
      <c r="L416" s="212">
        <v>217569</v>
      </c>
      <c r="M416" s="212"/>
      <c r="N416" s="212"/>
      <c r="O416" s="212"/>
      <c r="P416" s="212">
        <f>L416+W416</f>
        <v>217569</v>
      </c>
      <c r="Q416" s="212">
        <f>M416+X416</f>
        <v>0</v>
      </c>
      <c r="R416" s="212">
        <v>60000</v>
      </c>
      <c r="S416" s="212">
        <v>60000</v>
      </c>
      <c r="T416" s="212"/>
      <c r="U416" s="212"/>
      <c r="V416" s="212">
        <v>243127</v>
      </c>
      <c r="W416" s="212"/>
      <c r="X416" s="212"/>
      <c r="Y416" s="212"/>
      <c r="Z416" s="212"/>
      <c r="AA416" s="212">
        <v>15000</v>
      </c>
      <c r="AB416" s="212">
        <f>AA416</f>
        <v>15000</v>
      </c>
      <c r="AC416" s="212"/>
      <c r="AD416" s="212"/>
      <c r="AE416" s="566">
        <v>5011.5330000000004</v>
      </c>
      <c r="AF416" s="566">
        <v>11500</v>
      </c>
      <c r="AG416" s="212">
        <f t="shared" si="639"/>
        <v>15000</v>
      </c>
      <c r="AH416" s="212">
        <f t="shared" si="640"/>
        <v>15000</v>
      </c>
      <c r="AI416" s="212"/>
      <c r="AJ416" s="212"/>
      <c r="AK416" s="212">
        <f t="shared" si="630"/>
        <v>15000</v>
      </c>
      <c r="AL416" s="212">
        <f t="shared" si="631"/>
        <v>15000</v>
      </c>
      <c r="AM416" s="212">
        <f t="shared" si="632"/>
        <v>0</v>
      </c>
      <c r="AN416" s="212">
        <f t="shared" si="633"/>
        <v>0</v>
      </c>
      <c r="AO416" s="212">
        <f>AP416</f>
        <v>15000</v>
      </c>
      <c r="AP416" s="212">
        <v>15000</v>
      </c>
      <c r="AQ416" s="212"/>
      <c r="AR416" s="212"/>
      <c r="AS416" s="212">
        <f>243127+19000</f>
        <v>262127</v>
      </c>
      <c r="AT416" s="212">
        <f>AG416+AO416</f>
        <v>30000</v>
      </c>
      <c r="AU416" s="212">
        <f>AH416+AP416</f>
        <v>30000</v>
      </c>
      <c r="AV416" s="212">
        <f>AW416</f>
        <v>20000</v>
      </c>
      <c r="AW416" s="212">
        <v>20000</v>
      </c>
      <c r="AX416" s="212"/>
      <c r="AY416" s="212"/>
      <c r="AZ416" s="268" t="s">
        <v>661</v>
      </c>
      <c r="BA416" s="201"/>
    </row>
    <row r="417" spans="1:53" ht="14.1" hidden="1" customHeight="1">
      <c r="A417" s="268"/>
      <c r="B417" s="271"/>
      <c r="C417" s="260"/>
      <c r="D417" s="260"/>
      <c r="E417" s="260"/>
      <c r="F417" s="260"/>
      <c r="G417" s="284"/>
      <c r="H417" s="243"/>
      <c r="I417" s="248"/>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5">
        <f t="shared" si="639"/>
        <v>0</v>
      </c>
      <c r="AH417" s="215">
        <f t="shared" si="640"/>
        <v>0</v>
      </c>
      <c r="AI417" s="215"/>
      <c r="AJ417" s="215"/>
      <c r="AK417" s="215">
        <f t="shared" si="630"/>
        <v>0</v>
      </c>
      <c r="AL417" s="215">
        <f t="shared" si="631"/>
        <v>0</v>
      </c>
      <c r="AM417" s="215">
        <f t="shared" si="632"/>
        <v>0</v>
      </c>
      <c r="AN417" s="215">
        <f t="shared" si="633"/>
        <v>0</v>
      </c>
      <c r="AO417" s="212"/>
      <c r="AP417" s="212"/>
      <c r="AQ417" s="212"/>
      <c r="AR417" s="212"/>
      <c r="AS417" s="212"/>
      <c r="AT417" s="212">
        <f t="shared" ref="AT417:AT431" si="642">AG417+AO417</f>
        <v>0</v>
      </c>
      <c r="AU417" s="212">
        <f t="shared" ref="AU417:AU432" si="643">AH417+AP417</f>
        <v>0</v>
      </c>
      <c r="AV417" s="212"/>
      <c r="AW417" s="212"/>
      <c r="AX417" s="212"/>
      <c r="AY417" s="212"/>
      <c r="AZ417" s="243"/>
    </row>
    <row r="418" spans="1:53" s="232" customFormat="1" ht="27.95" hidden="1" customHeight="1">
      <c r="A418" s="240" t="s">
        <v>611</v>
      </c>
      <c r="B418" s="241" t="s">
        <v>612</v>
      </c>
      <c r="C418" s="229"/>
      <c r="D418" s="229"/>
      <c r="E418" s="229"/>
      <c r="F418" s="229"/>
      <c r="G418" s="229">
        <v>0</v>
      </c>
      <c r="H418" s="229"/>
      <c r="I418" s="231"/>
      <c r="J418" s="242"/>
      <c r="K418" s="242"/>
      <c r="L418" s="242"/>
      <c r="M418" s="242"/>
      <c r="N418" s="242"/>
      <c r="O418" s="242"/>
      <c r="P418" s="212">
        <f t="shared" ref="P418:P427" si="644">L418+W418</f>
        <v>84594</v>
      </c>
      <c r="Q418" s="212">
        <f t="shared" ref="Q418:Q427" si="645">M418+X418</f>
        <v>84594</v>
      </c>
      <c r="R418" s="242">
        <v>363408</v>
      </c>
      <c r="S418" s="242">
        <v>363408</v>
      </c>
      <c r="T418" s="242">
        <v>0</v>
      </c>
      <c r="U418" s="242">
        <v>0</v>
      </c>
      <c r="V418" s="242"/>
      <c r="W418" s="242">
        <v>84594</v>
      </c>
      <c r="X418" s="242">
        <v>84594</v>
      </c>
      <c r="Y418" s="242">
        <v>0</v>
      </c>
      <c r="Z418" s="242">
        <v>0</v>
      </c>
      <c r="AA418" s="242"/>
      <c r="AB418" s="242"/>
      <c r="AC418" s="242"/>
      <c r="AD418" s="242"/>
      <c r="AE418" s="242"/>
      <c r="AF418" s="242"/>
      <c r="AG418" s="215">
        <f t="shared" si="639"/>
        <v>84594</v>
      </c>
      <c r="AH418" s="215">
        <f t="shared" si="640"/>
        <v>84594</v>
      </c>
      <c r="AI418" s="215"/>
      <c r="AJ418" s="215"/>
      <c r="AK418" s="215">
        <f t="shared" si="630"/>
        <v>0</v>
      </c>
      <c r="AL418" s="215">
        <f t="shared" si="631"/>
        <v>0</v>
      </c>
      <c r="AM418" s="215">
        <f t="shared" si="632"/>
        <v>0</v>
      </c>
      <c r="AN418" s="215">
        <f t="shared" si="633"/>
        <v>0</v>
      </c>
      <c r="AO418" s="242"/>
      <c r="AP418" s="242"/>
      <c r="AQ418" s="242"/>
      <c r="AR418" s="242"/>
      <c r="AS418" s="242"/>
      <c r="AT418" s="212">
        <f t="shared" si="642"/>
        <v>84594</v>
      </c>
      <c r="AU418" s="212">
        <f t="shared" si="643"/>
        <v>84594</v>
      </c>
      <c r="AV418" s="242"/>
      <c r="AW418" s="242"/>
      <c r="AX418" s="242"/>
      <c r="AY418" s="242"/>
      <c r="AZ418" s="315"/>
    </row>
    <row r="419" spans="1:53" s="232" customFormat="1" ht="14.1" hidden="1" customHeight="1">
      <c r="A419" s="326">
        <v>1</v>
      </c>
      <c r="B419" s="308" t="s">
        <v>613</v>
      </c>
      <c r="C419" s="229"/>
      <c r="D419" s="229"/>
      <c r="E419" s="229"/>
      <c r="F419" s="229"/>
      <c r="G419" s="229"/>
      <c r="H419" s="229"/>
      <c r="I419" s="231"/>
      <c r="J419" s="242"/>
      <c r="K419" s="242"/>
      <c r="L419" s="242"/>
      <c r="M419" s="242"/>
      <c r="N419" s="242"/>
      <c r="O419" s="242"/>
      <c r="P419" s="212">
        <f t="shared" si="644"/>
        <v>79000</v>
      </c>
      <c r="Q419" s="212">
        <f t="shared" si="645"/>
        <v>79000</v>
      </c>
      <c r="R419" s="215"/>
      <c r="S419" s="215"/>
      <c r="T419" s="215"/>
      <c r="U419" s="215"/>
      <c r="V419" s="215"/>
      <c r="W419" s="212">
        <v>79000</v>
      </c>
      <c r="X419" s="212">
        <v>79000</v>
      </c>
      <c r="Y419" s="242"/>
      <c r="Z419" s="242"/>
      <c r="AA419" s="212">
        <v>94491</v>
      </c>
      <c r="AB419" s="212">
        <v>94491</v>
      </c>
      <c r="AC419" s="242"/>
      <c r="AD419" s="242"/>
      <c r="AE419" s="242"/>
      <c r="AF419" s="242"/>
      <c r="AG419" s="215">
        <f t="shared" si="639"/>
        <v>173491</v>
      </c>
      <c r="AH419" s="215">
        <f t="shared" si="640"/>
        <v>173491</v>
      </c>
      <c r="AI419" s="215"/>
      <c r="AJ419" s="215"/>
      <c r="AK419" s="215">
        <f t="shared" si="630"/>
        <v>0</v>
      </c>
      <c r="AL419" s="215">
        <f t="shared" si="631"/>
        <v>0</v>
      </c>
      <c r="AM419" s="215">
        <f t="shared" si="632"/>
        <v>0</v>
      </c>
      <c r="AN419" s="215">
        <f t="shared" si="633"/>
        <v>0</v>
      </c>
      <c r="AO419" s="242"/>
      <c r="AP419" s="242"/>
      <c r="AQ419" s="242"/>
      <c r="AR419" s="242"/>
      <c r="AS419" s="242"/>
      <c r="AT419" s="212">
        <f t="shared" si="642"/>
        <v>173491</v>
      </c>
      <c r="AU419" s="212">
        <f t="shared" si="643"/>
        <v>173491</v>
      </c>
      <c r="AV419" s="242"/>
      <c r="AW419" s="242"/>
      <c r="AX419" s="242"/>
      <c r="AY419" s="242"/>
      <c r="AZ419" s="322"/>
    </row>
    <row r="420" spans="1:53" s="232" customFormat="1" ht="14.1" hidden="1" customHeight="1">
      <c r="A420" s="326">
        <v>2</v>
      </c>
      <c r="B420" s="308" t="s">
        <v>614</v>
      </c>
      <c r="C420" s="229"/>
      <c r="D420" s="229"/>
      <c r="E420" s="229"/>
      <c r="F420" s="229"/>
      <c r="G420" s="229"/>
      <c r="H420" s="229"/>
      <c r="I420" s="231"/>
      <c r="J420" s="242"/>
      <c r="K420" s="242"/>
      <c r="L420" s="242"/>
      <c r="M420" s="242"/>
      <c r="N420" s="242"/>
      <c r="O420" s="242"/>
      <c r="P420" s="212">
        <f t="shared" si="644"/>
        <v>4166</v>
      </c>
      <c r="Q420" s="212">
        <f t="shared" si="645"/>
        <v>4166</v>
      </c>
      <c r="R420" s="215"/>
      <c r="S420" s="215"/>
      <c r="T420" s="215"/>
      <c r="U420" s="215"/>
      <c r="V420" s="215"/>
      <c r="W420" s="212">
        <v>4166</v>
      </c>
      <c r="X420" s="212">
        <v>4166</v>
      </c>
      <c r="Y420" s="242"/>
      <c r="Z420" s="242"/>
      <c r="AA420" s="212">
        <v>3760</v>
      </c>
      <c r="AB420" s="212">
        <v>3760</v>
      </c>
      <c r="AC420" s="242"/>
      <c r="AD420" s="242"/>
      <c r="AE420" s="242"/>
      <c r="AF420" s="242"/>
      <c r="AG420" s="215">
        <f t="shared" si="639"/>
        <v>7926</v>
      </c>
      <c r="AH420" s="215">
        <f t="shared" si="640"/>
        <v>7926</v>
      </c>
      <c r="AI420" s="215"/>
      <c r="AJ420" s="215"/>
      <c r="AK420" s="215">
        <f t="shared" si="630"/>
        <v>0</v>
      </c>
      <c r="AL420" s="215">
        <f t="shared" si="631"/>
        <v>0</v>
      </c>
      <c r="AM420" s="215">
        <f t="shared" si="632"/>
        <v>0</v>
      </c>
      <c r="AN420" s="215">
        <f t="shared" si="633"/>
        <v>0</v>
      </c>
      <c r="AO420" s="242"/>
      <c r="AP420" s="242"/>
      <c r="AQ420" s="242"/>
      <c r="AR420" s="242"/>
      <c r="AS420" s="242"/>
      <c r="AT420" s="212">
        <f t="shared" si="642"/>
        <v>7926</v>
      </c>
      <c r="AU420" s="212">
        <f t="shared" si="643"/>
        <v>7926</v>
      </c>
      <c r="AV420" s="242"/>
      <c r="AW420" s="242"/>
      <c r="AX420" s="242"/>
      <c r="AY420" s="242"/>
      <c r="AZ420" s="322"/>
    </row>
    <row r="421" spans="1:53" s="232" customFormat="1" ht="14.1" hidden="1" customHeight="1">
      <c r="A421" s="326">
        <v>3</v>
      </c>
      <c r="B421" s="308" t="s">
        <v>615</v>
      </c>
      <c r="C421" s="229"/>
      <c r="D421" s="229"/>
      <c r="E421" s="229"/>
      <c r="F421" s="229"/>
      <c r="G421" s="229"/>
      <c r="H421" s="229"/>
      <c r="I421" s="231"/>
      <c r="J421" s="242"/>
      <c r="K421" s="242"/>
      <c r="L421" s="242"/>
      <c r="M421" s="242"/>
      <c r="N421" s="242"/>
      <c r="O421" s="242"/>
      <c r="P421" s="212">
        <f t="shared" si="644"/>
        <v>1428</v>
      </c>
      <c r="Q421" s="212">
        <f t="shared" si="645"/>
        <v>1428</v>
      </c>
      <c r="R421" s="215"/>
      <c r="S421" s="215"/>
      <c r="T421" s="215"/>
      <c r="U421" s="215"/>
      <c r="V421" s="215"/>
      <c r="W421" s="212">
        <v>1428</v>
      </c>
      <c r="X421" s="212">
        <v>1428</v>
      </c>
      <c r="Y421" s="242"/>
      <c r="Z421" s="242"/>
      <c r="AA421" s="273">
        <v>2789</v>
      </c>
      <c r="AB421" s="273">
        <v>2789</v>
      </c>
      <c r="AC421" s="242"/>
      <c r="AD421" s="242"/>
      <c r="AE421" s="242"/>
      <c r="AF421" s="242"/>
      <c r="AG421" s="215">
        <f t="shared" si="639"/>
        <v>4217</v>
      </c>
      <c r="AH421" s="215">
        <f t="shared" si="640"/>
        <v>4217</v>
      </c>
      <c r="AI421" s="215"/>
      <c r="AJ421" s="215"/>
      <c r="AK421" s="215">
        <f t="shared" si="630"/>
        <v>0</v>
      </c>
      <c r="AL421" s="215">
        <f t="shared" si="631"/>
        <v>0</v>
      </c>
      <c r="AM421" s="215">
        <f t="shared" si="632"/>
        <v>0</v>
      </c>
      <c r="AN421" s="215">
        <f t="shared" si="633"/>
        <v>0</v>
      </c>
      <c r="AO421" s="242"/>
      <c r="AP421" s="242"/>
      <c r="AQ421" s="242"/>
      <c r="AR421" s="242"/>
      <c r="AS421" s="242"/>
      <c r="AT421" s="212">
        <f t="shared" si="642"/>
        <v>4217</v>
      </c>
      <c r="AU421" s="212">
        <f t="shared" si="643"/>
        <v>4217</v>
      </c>
      <c r="AV421" s="242"/>
      <c r="AW421" s="242"/>
      <c r="AX421" s="242"/>
      <c r="AY421" s="242"/>
      <c r="AZ421" s="243"/>
    </row>
    <row r="422" spans="1:53" s="232" customFormat="1" ht="14.1" hidden="1" customHeight="1">
      <c r="A422" s="326">
        <v>4</v>
      </c>
      <c r="B422" s="308" t="s">
        <v>616</v>
      </c>
      <c r="C422" s="229"/>
      <c r="D422" s="229"/>
      <c r="E422" s="229"/>
      <c r="F422" s="229"/>
      <c r="G422" s="229"/>
      <c r="H422" s="229"/>
      <c r="I422" s="231"/>
      <c r="J422" s="242"/>
      <c r="K422" s="242"/>
      <c r="L422" s="242"/>
      <c r="M422" s="242"/>
      <c r="N422" s="242"/>
      <c r="O422" s="242"/>
      <c r="P422" s="212">
        <f t="shared" si="644"/>
        <v>0</v>
      </c>
      <c r="Q422" s="212">
        <f t="shared" si="645"/>
        <v>0</v>
      </c>
      <c r="R422" s="215"/>
      <c r="S422" s="215"/>
      <c r="T422" s="215"/>
      <c r="U422" s="215"/>
      <c r="V422" s="215"/>
      <c r="W422" s="242"/>
      <c r="X422" s="242"/>
      <c r="Y422" s="242"/>
      <c r="Z422" s="242"/>
      <c r="AA422" s="273">
        <v>492</v>
      </c>
      <c r="AB422" s="273">
        <v>492</v>
      </c>
      <c r="AC422" s="242"/>
      <c r="AD422" s="242"/>
      <c r="AE422" s="242"/>
      <c r="AF422" s="242"/>
      <c r="AG422" s="215">
        <f t="shared" si="639"/>
        <v>492</v>
      </c>
      <c r="AH422" s="215">
        <f t="shared" si="640"/>
        <v>492</v>
      </c>
      <c r="AI422" s="215"/>
      <c r="AJ422" s="215"/>
      <c r="AK422" s="215">
        <f t="shared" si="630"/>
        <v>0</v>
      </c>
      <c r="AL422" s="215">
        <f t="shared" si="631"/>
        <v>0</v>
      </c>
      <c r="AM422" s="215">
        <f t="shared" si="632"/>
        <v>0</v>
      </c>
      <c r="AN422" s="215">
        <f t="shared" si="633"/>
        <v>0</v>
      </c>
      <c r="AO422" s="242"/>
      <c r="AP422" s="242"/>
      <c r="AQ422" s="242"/>
      <c r="AR422" s="242"/>
      <c r="AS422" s="242"/>
      <c r="AT422" s="212">
        <f t="shared" si="642"/>
        <v>492</v>
      </c>
      <c r="AU422" s="212">
        <f t="shared" si="643"/>
        <v>492</v>
      </c>
      <c r="AV422" s="242"/>
      <c r="AW422" s="242"/>
      <c r="AX422" s="242"/>
      <c r="AY422" s="242"/>
      <c r="AZ422" s="243"/>
    </row>
    <row r="423" spans="1:53" s="232" customFormat="1" ht="27.95" hidden="1" customHeight="1">
      <c r="A423" s="326">
        <v>5</v>
      </c>
      <c r="B423" s="308" t="s">
        <v>617</v>
      </c>
      <c r="C423" s="229"/>
      <c r="D423" s="229"/>
      <c r="E423" s="229"/>
      <c r="F423" s="229"/>
      <c r="G423" s="229"/>
      <c r="H423" s="229"/>
      <c r="I423" s="231"/>
      <c r="J423" s="242"/>
      <c r="K423" s="242"/>
      <c r="L423" s="242"/>
      <c r="M423" s="242"/>
      <c r="N423" s="242"/>
      <c r="O423" s="242"/>
      <c r="P423" s="212">
        <f t="shared" si="644"/>
        <v>0</v>
      </c>
      <c r="Q423" s="212">
        <f t="shared" si="645"/>
        <v>0</v>
      </c>
      <c r="R423" s="215"/>
      <c r="S423" s="215"/>
      <c r="T423" s="215"/>
      <c r="U423" s="215"/>
      <c r="V423" s="215"/>
      <c r="W423" s="242"/>
      <c r="X423" s="242"/>
      <c r="Y423" s="242"/>
      <c r="Z423" s="242"/>
      <c r="AA423" s="273">
        <v>483</v>
      </c>
      <c r="AB423" s="273">
        <v>483</v>
      </c>
      <c r="AC423" s="242"/>
      <c r="AD423" s="242"/>
      <c r="AE423" s="242"/>
      <c r="AF423" s="242"/>
      <c r="AG423" s="215">
        <f t="shared" si="639"/>
        <v>483</v>
      </c>
      <c r="AH423" s="215">
        <f t="shared" si="640"/>
        <v>483</v>
      </c>
      <c r="AI423" s="215"/>
      <c r="AJ423" s="215"/>
      <c r="AK423" s="215">
        <f t="shared" si="630"/>
        <v>0</v>
      </c>
      <c r="AL423" s="215">
        <f t="shared" si="631"/>
        <v>0</v>
      </c>
      <c r="AM423" s="215">
        <f t="shared" si="632"/>
        <v>0</v>
      </c>
      <c r="AN423" s="215">
        <f t="shared" si="633"/>
        <v>0</v>
      </c>
      <c r="AO423" s="242"/>
      <c r="AP423" s="242"/>
      <c r="AQ423" s="242"/>
      <c r="AR423" s="242"/>
      <c r="AS423" s="242"/>
      <c r="AT423" s="212">
        <f t="shared" si="642"/>
        <v>483</v>
      </c>
      <c r="AU423" s="212">
        <f t="shared" si="643"/>
        <v>483</v>
      </c>
      <c r="AV423" s="242"/>
      <c r="AW423" s="242"/>
      <c r="AX423" s="242"/>
      <c r="AY423" s="242"/>
      <c r="AZ423" s="243"/>
    </row>
    <row r="424" spans="1:53" s="232" customFormat="1" ht="27.95" hidden="1" customHeight="1">
      <c r="A424" s="326">
        <v>6</v>
      </c>
      <c r="B424" s="318" t="s">
        <v>618</v>
      </c>
      <c r="C424" s="229"/>
      <c r="D424" s="229"/>
      <c r="E424" s="229"/>
      <c r="F424" s="229"/>
      <c r="G424" s="229"/>
      <c r="H424" s="229"/>
      <c r="I424" s="231"/>
      <c r="J424" s="242"/>
      <c r="K424" s="242"/>
      <c r="L424" s="242"/>
      <c r="M424" s="242"/>
      <c r="N424" s="242"/>
      <c r="O424" s="242"/>
      <c r="P424" s="212">
        <f t="shared" si="644"/>
        <v>0</v>
      </c>
      <c r="Q424" s="212">
        <f t="shared" si="645"/>
        <v>0</v>
      </c>
      <c r="R424" s="215"/>
      <c r="S424" s="215"/>
      <c r="T424" s="215"/>
      <c r="U424" s="215"/>
      <c r="V424" s="215"/>
      <c r="W424" s="242"/>
      <c r="X424" s="242"/>
      <c r="Y424" s="242"/>
      <c r="Z424" s="242"/>
      <c r="AA424" s="273">
        <v>53</v>
      </c>
      <c r="AB424" s="273">
        <v>53</v>
      </c>
      <c r="AC424" s="242"/>
      <c r="AD424" s="242"/>
      <c r="AE424" s="242"/>
      <c r="AF424" s="242"/>
      <c r="AG424" s="215">
        <f t="shared" si="639"/>
        <v>53</v>
      </c>
      <c r="AH424" s="215">
        <f t="shared" si="640"/>
        <v>53</v>
      </c>
      <c r="AI424" s="215"/>
      <c r="AJ424" s="215"/>
      <c r="AK424" s="215">
        <f t="shared" si="630"/>
        <v>0</v>
      </c>
      <c r="AL424" s="215">
        <f t="shared" si="631"/>
        <v>0</v>
      </c>
      <c r="AM424" s="215">
        <f t="shared" si="632"/>
        <v>0</v>
      </c>
      <c r="AN424" s="215">
        <f t="shared" si="633"/>
        <v>0</v>
      </c>
      <c r="AO424" s="242"/>
      <c r="AP424" s="242"/>
      <c r="AQ424" s="242"/>
      <c r="AR424" s="242"/>
      <c r="AS424" s="242"/>
      <c r="AT424" s="212">
        <f t="shared" si="642"/>
        <v>53</v>
      </c>
      <c r="AU424" s="212">
        <f t="shared" si="643"/>
        <v>53</v>
      </c>
      <c r="AV424" s="242"/>
      <c r="AW424" s="242"/>
      <c r="AX424" s="242"/>
      <c r="AY424" s="242"/>
      <c r="AZ424" s="243"/>
    </row>
    <row r="425" spans="1:53" s="232" customFormat="1" ht="42" hidden="1" customHeight="1">
      <c r="A425" s="326">
        <v>7</v>
      </c>
      <c r="B425" s="307" t="s">
        <v>619</v>
      </c>
      <c r="C425" s="229"/>
      <c r="D425" s="229"/>
      <c r="E425" s="229"/>
      <c r="F425" s="229"/>
      <c r="G425" s="229"/>
      <c r="H425" s="229"/>
      <c r="I425" s="231"/>
      <c r="J425" s="242"/>
      <c r="K425" s="242"/>
      <c r="L425" s="242"/>
      <c r="M425" s="242"/>
      <c r="N425" s="242"/>
      <c r="O425" s="242"/>
      <c r="P425" s="212">
        <f t="shared" si="644"/>
        <v>0</v>
      </c>
      <c r="Q425" s="212">
        <f t="shared" si="645"/>
        <v>0</v>
      </c>
      <c r="R425" s="215"/>
      <c r="S425" s="215"/>
      <c r="T425" s="215"/>
      <c r="U425" s="215"/>
      <c r="V425" s="215"/>
      <c r="W425" s="242"/>
      <c r="X425" s="242"/>
      <c r="Y425" s="242"/>
      <c r="Z425" s="242"/>
      <c r="AA425" s="212">
        <v>50000</v>
      </c>
      <c r="AB425" s="212">
        <v>50000</v>
      </c>
      <c r="AC425" s="242"/>
      <c r="AD425" s="242"/>
      <c r="AE425" s="242"/>
      <c r="AF425" s="242"/>
      <c r="AG425" s="215">
        <f t="shared" si="639"/>
        <v>50000</v>
      </c>
      <c r="AH425" s="215">
        <f t="shared" si="640"/>
        <v>50000</v>
      </c>
      <c r="AI425" s="215"/>
      <c r="AJ425" s="215"/>
      <c r="AK425" s="215">
        <f t="shared" si="630"/>
        <v>0</v>
      </c>
      <c r="AL425" s="215">
        <f t="shared" si="631"/>
        <v>0</v>
      </c>
      <c r="AM425" s="215">
        <f t="shared" si="632"/>
        <v>0</v>
      </c>
      <c r="AN425" s="215">
        <f t="shared" si="633"/>
        <v>0</v>
      </c>
      <c r="AO425" s="242"/>
      <c r="AP425" s="242"/>
      <c r="AQ425" s="242"/>
      <c r="AR425" s="242"/>
      <c r="AS425" s="242"/>
      <c r="AT425" s="212">
        <f t="shared" si="642"/>
        <v>50000</v>
      </c>
      <c r="AU425" s="212">
        <f t="shared" si="643"/>
        <v>50000</v>
      </c>
      <c r="AV425" s="242"/>
      <c r="AW425" s="242"/>
      <c r="AX425" s="242"/>
      <c r="AY425" s="242"/>
      <c r="AZ425" s="261"/>
    </row>
    <row r="426" spans="1:53" s="232" customFormat="1" ht="14.1" hidden="1" customHeight="1">
      <c r="A426" s="240"/>
      <c r="B426" s="241"/>
      <c r="C426" s="229"/>
      <c r="D426" s="229"/>
      <c r="E426" s="229"/>
      <c r="F426" s="229"/>
      <c r="G426" s="229"/>
      <c r="H426" s="229"/>
      <c r="I426" s="231"/>
      <c r="J426" s="242"/>
      <c r="K426" s="242"/>
      <c r="L426" s="242"/>
      <c r="M426" s="242"/>
      <c r="N426" s="242"/>
      <c r="O426" s="242"/>
      <c r="P426" s="212">
        <f t="shared" si="644"/>
        <v>0</v>
      </c>
      <c r="Q426" s="212">
        <f t="shared" si="645"/>
        <v>0</v>
      </c>
      <c r="R426" s="215"/>
      <c r="S426" s="215"/>
      <c r="T426" s="215"/>
      <c r="U426" s="215"/>
      <c r="V426" s="215"/>
      <c r="W426" s="242"/>
      <c r="X426" s="242"/>
      <c r="Y426" s="242"/>
      <c r="Z426" s="242"/>
      <c r="AA426" s="242"/>
      <c r="AB426" s="242"/>
      <c r="AC426" s="242"/>
      <c r="AD426" s="242"/>
      <c r="AE426" s="242"/>
      <c r="AF426" s="242"/>
      <c r="AG426" s="215">
        <f t="shared" si="639"/>
        <v>0</v>
      </c>
      <c r="AH426" s="215">
        <f t="shared" si="640"/>
        <v>0</v>
      </c>
      <c r="AI426" s="215"/>
      <c r="AJ426" s="215"/>
      <c r="AK426" s="215">
        <f t="shared" si="630"/>
        <v>0</v>
      </c>
      <c r="AL426" s="215">
        <f t="shared" si="631"/>
        <v>0</v>
      </c>
      <c r="AM426" s="215">
        <f t="shared" si="632"/>
        <v>0</v>
      </c>
      <c r="AN426" s="215">
        <f t="shared" si="633"/>
        <v>0</v>
      </c>
      <c r="AO426" s="242"/>
      <c r="AP426" s="242"/>
      <c r="AQ426" s="242"/>
      <c r="AR426" s="242"/>
      <c r="AS426" s="242"/>
      <c r="AT426" s="212">
        <f t="shared" si="642"/>
        <v>0</v>
      </c>
      <c r="AU426" s="212">
        <f t="shared" si="643"/>
        <v>0</v>
      </c>
      <c r="AV426" s="242"/>
      <c r="AW426" s="242"/>
      <c r="AX426" s="242"/>
      <c r="AY426" s="242"/>
      <c r="AZ426" s="243"/>
    </row>
    <row r="427" spans="1:53" s="232" customFormat="1" ht="14.1" hidden="1" customHeight="1">
      <c r="A427" s="240"/>
      <c r="B427" s="244"/>
      <c r="C427" s="229">
        <v>0</v>
      </c>
      <c r="D427" s="229"/>
      <c r="E427" s="229"/>
      <c r="F427" s="229"/>
      <c r="G427" s="229"/>
      <c r="H427" s="229"/>
      <c r="I427" s="231"/>
      <c r="J427" s="242"/>
      <c r="K427" s="242"/>
      <c r="L427" s="242"/>
      <c r="M427" s="242"/>
      <c r="N427" s="242"/>
      <c r="O427" s="242"/>
      <c r="P427" s="212">
        <f t="shared" si="644"/>
        <v>0</v>
      </c>
      <c r="Q427" s="212">
        <f t="shared" si="645"/>
        <v>0</v>
      </c>
      <c r="R427" s="215"/>
      <c r="S427" s="215"/>
      <c r="T427" s="215"/>
      <c r="U427" s="215"/>
      <c r="V427" s="215"/>
      <c r="W427" s="242"/>
      <c r="X427" s="242"/>
      <c r="Y427" s="242"/>
      <c r="Z427" s="242"/>
      <c r="AA427" s="242"/>
      <c r="AB427" s="242"/>
      <c r="AC427" s="242"/>
      <c r="AD427" s="242"/>
      <c r="AE427" s="242"/>
      <c r="AF427" s="242"/>
      <c r="AG427" s="215">
        <f t="shared" si="639"/>
        <v>0</v>
      </c>
      <c r="AH427" s="215">
        <f t="shared" si="640"/>
        <v>0</v>
      </c>
      <c r="AI427" s="215"/>
      <c r="AJ427" s="215"/>
      <c r="AK427" s="215">
        <f t="shared" si="630"/>
        <v>0</v>
      </c>
      <c r="AL427" s="215">
        <f t="shared" si="631"/>
        <v>0</v>
      </c>
      <c r="AM427" s="215">
        <f t="shared" si="632"/>
        <v>0</v>
      </c>
      <c r="AN427" s="215">
        <f t="shared" si="633"/>
        <v>0</v>
      </c>
      <c r="AO427" s="242"/>
      <c r="AP427" s="242"/>
      <c r="AQ427" s="242"/>
      <c r="AR427" s="242"/>
      <c r="AS427" s="242"/>
      <c r="AT427" s="212">
        <f t="shared" si="642"/>
        <v>0</v>
      </c>
      <c r="AU427" s="212">
        <f t="shared" si="643"/>
        <v>0</v>
      </c>
      <c r="AV427" s="242"/>
      <c r="AW427" s="242"/>
      <c r="AX427" s="242"/>
      <c r="AY427" s="242"/>
      <c r="AZ427" s="299"/>
    </row>
    <row r="428" spans="1:53" s="232" customFormat="1" ht="14.1" hidden="1" customHeight="1">
      <c r="A428" s="350"/>
      <c r="B428" s="244" t="s">
        <v>620</v>
      </c>
      <c r="C428" s="229"/>
      <c r="D428" s="229"/>
      <c r="E428" s="229"/>
      <c r="F428" s="229"/>
      <c r="G428" s="229"/>
      <c r="H428" s="229"/>
      <c r="I428" s="231"/>
      <c r="J428" s="242"/>
      <c r="K428" s="242"/>
      <c r="L428" s="242"/>
      <c r="M428" s="242"/>
      <c r="N428" s="242"/>
      <c r="O428" s="242"/>
      <c r="P428" s="212"/>
      <c r="Q428" s="212"/>
      <c r="R428" s="215"/>
      <c r="S428" s="215">
        <v>109800</v>
      </c>
      <c r="T428" s="215"/>
      <c r="U428" s="215"/>
      <c r="V428" s="215"/>
      <c r="W428" s="242"/>
      <c r="X428" s="242"/>
      <c r="Y428" s="242"/>
      <c r="Z428" s="576"/>
      <c r="AA428" s="577"/>
      <c r="AB428" s="576">
        <v>17000</v>
      </c>
      <c r="AC428" s="576"/>
      <c r="AD428" s="242"/>
      <c r="AE428" s="242"/>
      <c r="AF428" s="242"/>
      <c r="AG428" s="215">
        <f t="shared" si="639"/>
        <v>0</v>
      </c>
      <c r="AH428" s="215">
        <f t="shared" si="640"/>
        <v>17000</v>
      </c>
      <c r="AI428" s="215"/>
      <c r="AJ428" s="215"/>
      <c r="AK428" s="215">
        <f t="shared" si="630"/>
        <v>0</v>
      </c>
      <c r="AL428" s="215">
        <f t="shared" si="631"/>
        <v>0</v>
      </c>
      <c r="AM428" s="215">
        <f t="shared" si="632"/>
        <v>0</v>
      </c>
      <c r="AN428" s="215">
        <f t="shared" si="633"/>
        <v>0</v>
      </c>
      <c r="AO428" s="242"/>
      <c r="AP428" s="242"/>
      <c r="AQ428" s="242"/>
      <c r="AR428" s="242"/>
      <c r="AS428" s="242"/>
      <c r="AT428" s="212">
        <f t="shared" si="642"/>
        <v>0</v>
      </c>
      <c r="AU428" s="212">
        <f t="shared" si="643"/>
        <v>17000</v>
      </c>
      <c r="AV428" s="242"/>
      <c r="AW428" s="242"/>
      <c r="AX428" s="242"/>
      <c r="AY428" s="242"/>
      <c r="AZ428" s="299"/>
    </row>
    <row r="429" spans="1:53" s="232" customFormat="1" ht="67.5" customHeight="1">
      <c r="A429" s="509">
        <v>2</v>
      </c>
      <c r="B429" s="605" t="s">
        <v>658</v>
      </c>
      <c r="C429" s="552" t="s">
        <v>448</v>
      </c>
      <c r="D429" s="353"/>
      <c r="E429" s="552" t="s">
        <v>829</v>
      </c>
      <c r="F429" s="353"/>
      <c r="G429" s="606" t="s">
        <v>659</v>
      </c>
      <c r="H429" s="607" t="s">
        <v>660</v>
      </c>
      <c r="I429" s="475" t="s">
        <v>869</v>
      </c>
      <c r="J429" s="476">
        <v>439300</v>
      </c>
      <c r="K429" s="476">
        <v>70000</v>
      </c>
      <c r="L429" s="242"/>
      <c r="M429" s="242"/>
      <c r="N429" s="242"/>
      <c r="O429" s="242"/>
      <c r="P429" s="212"/>
      <c r="Q429" s="212"/>
      <c r="R429" s="212">
        <f>S429</f>
        <v>40000</v>
      </c>
      <c r="S429" s="212">
        <v>40000</v>
      </c>
      <c r="T429" s="215"/>
      <c r="U429" s="215"/>
      <c r="V429" s="212">
        <v>310000</v>
      </c>
      <c r="W429" s="242"/>
      <c r="X429" s="242"/>
      <c r="Y429" s="242"/>
      <c r="Z429" s="242"/>
      <c r="AA429" s="242"/>
      <c r="AB429" s="242"/>
      <c r="AC429" s="242"/>
      <c r="AD429" s="242"/>
      <c r="AE429" s="242"/>
      <c r="AF429" s="242"/>
      <c r="AG429" s="212"/>
      <c r="AH429" s="212"/>
      <c r="AI429" s="212"/>
      <c r="AJ429" s="212"/>
      <c r="AK429" s="212">
        <v>84908</v>
      </c>
      <c r="AL429" s="212">
        <f>AK429</f>
        <v>84908</v>
      </c>
      <c r="AM429" s="215"/>
      <c r="AN429" s="215"/>
      <c r="AO429" s="273">
        <f>AP429</f>
        <v>11500</v>
      </c>
      <c r="AP429" s="273">
        <v>11500</v>
      </c>
      <c r="AQ429" s="242"/>
      <c r="AR429" s="242"/>
      <c r="AS429" s="273">
        <f>310000+17500</f>
        <v>327500</v>
      </c>
      <c r="AT429" s="212">
        <f t="shared" si="642"/>
        <v>11500</v>
      </c>
      <c r="AU429" s="212">
        <f t="shared" si="643"/>
        <v>11500</v>
      </c>
      <c r="AV429" s="273">
        <f>AW429</f>
        <v>14250</v>
      </c>
      <c r="AW429" s="273">
        <v>14250</v>
      </c>
      <c r="AX429" s="242"/>
      <c r="AY429" s="242"/>
      <c r="AZ429" s="615"/>
    </row>
    <row r="430" spans="1:53" s="232" customFormat="1" ht="56.25" hidden="1" customHeight="1">
      <c r="A430" s="509">
        <v>3</v>
      </c>
      <c r="B430" s="608" t="s">
        <v>775</v>
      </c>
      <c r="C430" s="609" t="s">
        <v>850</v>
      </c>
      <c r="D430" s="547"/>
      <c r="E430" s="537" t="s">
        <v>818</v>
      </c>
      <c r="F430" s="547"/>
      <c r="G430" s="606"/>
      <c r="H430" s="303" t="s">
        <v>367</v>
      </c>
      <c r="I430" s="610" t="s">
        <v>871</v>
      </c>
      <c r="J430" s="476">
        <v>80000</v>
      </c>
      <c r="K430" s="476">
        <v>52000</v>
      </c>
      <c r="L430" s="525"/>
      <c r="M430" s="525"/>
      <c r="N430" s="525"/>
      <c r="O430" s="525"/>
      <c r="P430" s="354"/>
      <c r="Q430" s="354"/>
      <c r="R430" s="354">
        <f>S430</f>
        <v>35000</v>
      </c>
      <c r="S430" s="354">
        <v>35000</v>
      </c>
      <c r="T430" s="355"/>
      <c r="U430" s="355"/>
      <c r="V430" s="215"/>
      <c r="W430" s="242"/>
      <c r="X430" s="242"/>
      <c r="Y430" s="242"/>
      <c r="Z430" s="242"/>
      <c r="AA430" s="242"/>
      <c r="AB430" s="242"/>
      <c r="AC430" s="242"/>
      <c r="AD430" s="242"/>
      <c r="AE430" s="242"/>
      <c r="AF430" s="242"/>
      <c r="AG430" s="212"/>
      <c r="AH430" s="212"/>
      <c r="AI430" s="212"/>
      <c r="AJ430" s="212"/>
      <c r="AK430" s="212"/>
      <c r="AL430" s="212"/>
      <c r="AM430" s="215"/>
      <c r="AN430" s="215"/>
      <c r="AO430" s="273">
        <f>AP430</f>
        <v>10500</v>
      </c>
      <c r="AP430" s="273">
        <v>10500</v>
      </c>
      <c r="AQ430" s="242"/>
      <c r="AR430" s="242"/>
      <c r="AS430" s="242"/>
      <c r="AT430" s="212">
        <f t="shared" si="642"/>
        <v>10500</v>
      </c>
      <c r="AU430" s="212">
        <f t="shared" si="643"/>
        <v>10500</v>
      </c>
      <c r="AV430" s="273">
        <f>AW430</f>
        <v>0</v>
      </c>
      <c r="AW430" s="273"/>
      <c r="AX430" s="242"/>
      <c r="AY430" s="242"/>
      <c r="AZ430" s="246" t="s">
        <v>959</v>
      </c>
    </row>
    <row r="431" spans="1:53" s="232" customFormat="1" ht="42" customHeight="1">
      <c r="A431" s="509">
        <v>3</v>
      </c>
      <c r="B431" s="611" t="s">
        <v>776</v>
      </c>
      <c r="C431" s="609" t="s">
        <v>850</v>
      </c>
      <c r="D431" s="547"/>
      <c r="E431" s="609" t="s">
        <v>812</v>
      </c>
      <c r="F431" s="547"/>
      <c r="G431" s="606"/>
      <c r="H431" s="303" t="s">
        <v>849</v>
      </c>
      <c r="I431" s="303" t="s">
        <v>848</v>
      </c>
      <c r="J431" s="612">
        <v>236032</v>
      </c>
      <c r="K431" s="612">
        <v>63000</v>
      </c>
      <c r="L431" s="525"/>
      <c r="M431" s="525"/>
      <c r="N431" s="525"/>
      <c r="O431" s="525"/>
      <c r="P431" s="212"/>
      <c r="Q431" s="212"/>
      <c r="R431" s="354">
        <f>S431</f>
        <v>63000</v>
      </c>
      <c r="S431" s="354">
        <v>63000</v>
      </c>
      <c r="T431" s="355"/>
      <c r="U431" s="355"/>
      <c r="V431" s="212">
        <v>172900</v>
      </c>
      <c r="W431" s="242"/>
      <c r="X431" s="242"/>
      <c r="Y431" s="242"/>
      <c r="Z431" s="242"/>
      <c r="AA431" s="242"/>
      <c r="AB431" s="242"/>
      <c r="AC431" s="242"/>
      <c r="AD431" s="242"/>
      <c r="AE431" s="242"/>
      <c r="AF431" s="242"/>
      <c r="AG431" s="212"/>
      <c r="AH431" s="212"/>
      <c r="AI431" s="212"/>
      <c r="AJ431" s="212"/>
      <c r="AK431" s="212"/>
      <c r="AL431" s="212"/>
      <c r="AM431" s="215"/>
      <c r="AN431" s="215"/>
      <c r="AO431" s="273">
        <f>AP431</f>
        <v>18000</v>
      </c>
      <c r="AP431" s="273">
        <v>18000</v>
      </c>
      <c r="AQ431" s="242"/>
      <c r="AR431" s="242"/>
      <c r="AS431" s="273">
        <f>172900+18000</f>
        <v>190900</v>
      </c>
      <c r="AT431" s="212">
        <f t="shared" si="642"/>
        <v>18000</v>
      </c>
      <c r="AU431" s="212">
        <f t="shared" si="643"/>
        <v>18000</v>
      </c>
      <c r="AV431" s="273">
        <f>AW431</f>
        <v>22500</v>
      </c>
      <c r="AW431" s="273">
        <v>22500</v>
      </c>
      <c r="AX431" s="242"/>
      <c r="AY431" s="242"/>
      <c r="AZ431" s="614"/>
    </row>
    <row r="432" spans="1:53" s="270" customFormat="1" ht="51" customHeight="1">
      <c r="A432" s="268">
        <v>4</v>
      </c>
      <c r="B432" s="510" t="s">
        <v>345</v>
      </c>
      <c r="C432" s="260" t="s">
        <v>329</v>
      </c>
      <c r="D432" s="260"/>
      <c r="E432" s="260" t="s">
        <v>937</v>
      </c>
      <c r="F432" s="260"/>
      <c r="G432" s="272"/>
      <c r="H432" s="303" t="s">
        <v>346</v>
      </c>
      <c r="I432" s="254" t="s">
        <v>798</v>
      </c>
      <c r="J432" s="489">
        <v>279797.8</v>
      </c>
      <c r="K432" s="489">
        <v>121838</v>
      </c>
      <c r="L432" s="212"/>
      <c r="M432" s="212"/>
      <c r="N432" s="212"/>
      <c r="O432" s="212"/>
      <c r="P432" s="212"/>
      <c r="Q432" s="212"/>
      <c r="R432" s="273">
        <f>S432</f>
        <v>50000</v>
      </c>
      <c r="S432" s="212">
        <v>50000</v>
      </c>
      <c r="T432" s="212"/>
      <c r="U432" s="212"/>
      <c r="V432" s="212"/>
      <c r="W432" s="212"/>
      <c r="X432" s="212"/>
      <c r="Y432" s="212"/>
      <c r="Z432" s="212"/>
      <c r="AA432" s="212"/>
      <c r="AB432" s="212"/>
      <c r="AC432" s="212"/>
      <c r="AD432" s="212"/>
      <c r="AE432" s="212"/>
      <c r="AF432" s="212"/>
      <c r="AG432" s="212">
        <f>AH432</f>
        <v>1018</v>
      </c>
      <c r="AH432" s="212">
        <v>1018</v>
      </c>
      <c r="AI432" s="212"/>
      <c r="AJ432" s="212"/>
      <c r="AK432" s="212"/>
      <c r="AL432" s="212"/>
      <c r="AM432" s="212"/>
      <c r="AN432" s="212"/>
      <c r="AO432" s="212">
        <f t="shared" ref="AO432" si="646">AP432</f>
        <v>6387</v>
      </c>
      <c r="AP432" s="212">
        <f>5787+600</f>
        <v>6387</v>
      </c>
      <c r="AQ432" s="212"/>
      <c r="AR432" s="212"/>
      <c r="AS432" s="212">
        <f>V432+AP432+50000</f>
        <v>56387</v>
      </c>
      <c r="AT432" s="212">
        <f t="shared" ref="AT432" si="647">AU432</f>
        <v>7405</v>
      </c>
      <c r="AU432" s="212">
        <f t="shared" si="643"/>
        <v>7405</v>
      </c>
      <c r="AV432" s="212">
        <f t="shared" ref="AV432" si="648">AW432</f>
        <v>10000</v>
      </c>
      <c r="AW432" s="212">
        <v>10000</v>
      </c>
      <c r="AX432" s="212">
        <f>AW432</f>
        <v>10000</v>
      </c>
      <c r="AY432" s="212"/>
      <c r="AZ432" s="243" t="s">
        <v>973</v>
      </c>
      <c r="BA432" s="279"/>
    </row>
    <row r="433" spans="1:53" s="479" customFormat="1" ht="27.6" customHeight="1">
      <c r="A433" s="480"/>
      <c r="B433" s="481" t="s">
        <v>778</v>
      </c>
      <c r="C433" s="482"/>
      <c r="D433" s="482"/>
      <c r="E433" s="482"/>
      <c r="F433" s="482"/>
      <c r="G433" s="483"/>
      <c r="H433" s="484"/>
      <c r="I433" s="485"/>
      <c r="J433" s="486"/>
      <c r="K433" s="486"/>
      <c r="L433" s="477"/>
      <c r="M433" s="477"/>
      <c r="N433" s="477"/>
      <c r="O433" s="477"/>
      <c r="P433" s="578"/>
      <c r="Q433" s="578"/>
      <c r="R433" s="478"/>
      <c r="S433" s="478"/>
      <c r="T433" s="478"/>
      <c r="U433" s="478"/>
      <c r="V433" s="578"/>
      <c r="W433" s="538"/>
      <c r="X433" s="538"/>
      <c r="Y433" s="538"/>
      <c r="Z433" s="538"/>
      <c r="AA433" s="538"/>
      <c r="AB433" s="538"/>
      <c r="AC433" s="538"/>
      <c r="AD433" s="538"/>
      <c r="AE433" s="538"/>
      <c r="AF433" s="538"/>
      <c r="AG433" s="578"/>
      <c r="AH433" s="578"/>
      <c r="AI433" s="578"/>
      <c r="AJ433" s="578"/>
      <c r="AK433" s="578"/>
      <c r="AL433" s="578"/>
      <c r="AM433" s="578"/>
      <c r="AN433" s="578"/>
      <c r="AO433" s="538"/>
      <c r="AP433" s="538">
        <v>20000</v>
      </c>
      <c r="AQ433" s="538"/>
      <c r="AR433" s="538"/>
      <c r="AS433" s="538"/>
      <c r="AT433" s="538"/>
      <c r="AU433" s="538"/>
      <c r="AV433" s="538"/>
      <c r="AW433" s="538"/>
      <c r="AX433" s="538"/>
      <c r="AY433" s="538"/>
      <c r="AZ433" s="487"/>
    </row>
    <row r="434" spans="1:53" s="251" customFormat="1" ht="29.25" customHeight="1">
      <c r="A434" s="101" t="s">
        <v>621</v>
      </c>
      <c r="B434" s="633" t="s">
        <v>622</v>
      </c>
      <c r="C434" s="229"/>
      <c r="D434" s="229"/>
      <c r="E434" s="229"/>
      <c r="F434" s="229"/>
      <c r="G434" s="583"/>
      <c r="H434" s="229"/>
      <c r="I434" s="584"/>
      <c r="J434" s="230">
        <f t="shared" ref="J434:AV434" si="649">J436+J439+J447+J452</f>
        <v>125152</v>
      </c>
      <c r="K434" s="230">
        <f t="shared" si="649"/>
        <v>90152</v>
      </c>
      <c r="L434" s="230">
        <f t="shared" si="649"/>
        <v>0</v>
      </c>
      <c r="M434" s="230">
        <f t="shared" si="649"/>
        <v>0</v>
      </c>
      <c r="N434" s="230">
        <f t="shared" si="649"/>
        <v>0</v>
      </c>
      <c r="O434" s="230">
        <f t="shared" si="649"/>
        <v>0</v>
      </c>
      <c r="P434" s="230">
        <f t="shared" si="649"/>
        <v>0</v>
      </c>
      <c r="Q434" s="230">
        <f t="shared" si="649"/>
        <v>0</v>
      </c>
      <c r="R434" s="230">
        <f t="shared" si="649"/>
        <v>122952</v>
      </c>
      <c r="S434" s="230">
        <f t="shared" si="649"/>
        <v>89907</v>
      </c>
      <c r="T434" s="230">
        <f t="shared" si="649"/>
        <v>0</v>
      </c>
      <c r="U434" s="230">
        <f t="shared" si="649"/>
        <v>0</v>
      </c>
      <c r="V434" s="230">
        <f t="shared" si="649"/>
        <v>10571</v>
      </c>
      <c r="W434" s="230">
        <f t="shared" si="649"/>
        <v>0</v>
      </c>
      <c r="X434" s="230">
        <f t="shared" si="649"/>
        <v>0</v>
      </c>
      <c r="Y434" s="230">
        <f t="shared" si="649"/>
        <v>0</v>
      </c>
      <c r="Z434" s="230">
        <f t="shared" si="649"/>
        <v>0</v>
      </c>
      <c r="AA434" s="230">
        <f t="shared" si="649"/>
        <v>0</v>
      </c>
      <c r="AB434" s="230">
        <f t="shared" si="649"/>
        <v>0</v>
      </c>
      <c r="AC434" s="230">
        <f t="shared" si="649"/>
        <v>0</v>
      </c>
      <c r="AD434" s="230">
        <f t="shared" si="649"/>
        <v>0</v>
      </c>
      <c r="AE434" s="230">
        <f t="shared" si="649"/>
        <v>0</v>
      </c>
      <c r="AF434" s="230">
        <f t="shared" si="649"/>
        <v>0</v>
      </c>
      <c r="AG434" s="230">
        <f t="shared" si="649"/>
        <v>45921</v>
      </c>
      <c r="AH434" s="230">
        <f t="shared" si="649"/>
        <v>13921</v>
      </c>
      <c r="AI434" s="230">
        <f t="shared" si="649"/>
        <v>0</v>
      </c>
      <c r="AJ434" s="230">
        <f t="shared" si="649"/>
        <v>0</v>
      </c>
      <c r="AK434" s="230">
        <f t="shared" si="649"/>
        <v>19644</v>
      </c>
      <c r="AL434" s="230">
        <f t="shared" si="649"/>
        <v>19644</v>
      </c>
      <c r="AM434" s="230">
        <f t="shared" si="649"/>
        <v>0</v>
      </c>
      <c r="AN434" s="230">
        <f t="shared" si="649"/>
        <v>0</v>
      </c>
      <c r="AO434" s="230">
        <f t="shared" si="649"/>
        <v>18700</v>
      </c>
      <c r="AP434" s="230">
        <f t="shared" si="649"/>
        <v>17200</v>
      </c>
      <c r="AQ434" s="230">
        <f t="shared" si="649"/>
        <v>0</v>
      </c>
      <c r="AR434" s="230">
        <f t="shared" si="649"/>
        <v>0</v>
      </c>
      <c r="AS434" s="230">
        <f t="shared" si="649"/>
        <v>35811</v>
      </c>
      <c r="AT434" s="230">
        <f t="shared" si="649"/>
        <v>67811</v>
      </c>
      <c r="AU434" s="230">
        <f t="shared" si="649"/>
        <v>31121</v>
      </c>
      <c r="AV434" s="230">
        <f t="shared" si="649"/>
        <v>25000</v>
      </c>
      <c r="AW434" s="230">
        <f>AW436+AW439+AW447+AW452</f>
        <v>25000</v>
      </c>
      <c r="AX434" s="230"/>
      <c r="AY434" s="230"/>
      <c r="AZ434" s="634"/>
      <c r="BA434" s="232"/>
    </row>
    <row r="435" spans="1:53" s="251" customFormat="1" ht="31.5">
      <c r="A435" s="105" t="s">
        <v>33</v>
      </c>
      <c r="B435" s="102" t="s">
        <v>285</v>
      </c>
      <c r="C435" s="229"/>
      <c r="D435" s="229"/>
      <c r="E435" s="229"/>
      <c r="F435" s="229"/>
      <c r="G435" s="583"/>
      <c r="H435" s="229"/>
      <c r="I435" s="585"/>
      <c r="J435" s="586"/>
      <c r="K435" s="586"/>
      <c r="L435" s="586" t="e">
        <f>#REF!</f>
        <v>#REF!</v>
      </c>
      <c r="M435" s="586" t="e">
        <f>#REF!</f>
        <v>#REF!</v>
      </c>
      <c r="N435" s="586" t="e">
        <f>#REF!</f>
        <v>#REF!</v>
      </c>
      <c r="O435" s="586" t="e">
        <f>#REF!</f>
        <v>#REF!</v>
      </c>
      <c r="P435" s="586" t="e">
        <f>#REF!</f>
        <v>#REF!</v>
      </c>
      <c r="Q435" s="586" t="e">
        <f>#REF!</f>
        <v>#REF!</v>
      </c>
      <c r="R435" s="586"/>
      <c r="S435" s="586"/>
      <c r="T435" s="586"/>
      <c r="U435" s="586"/>
      <c r="V435" s="586"/>
      <c r="W435" s="586"/>
      <c r="X435" s="586"/>
      <c r="Y435" s="586"/>
      <c r="Z435" s="586"/>
      <c r="AA435" s="586"/>
      <c r="AB435" s="586"/>
      <c r="AC435" s="586"/>
      <c r="AD435" s="586"/>
      <c r="AE435" s="586"/>
      <c r="AF435" s="586"/>
      <c r="AG435" s="586"/>
      <c r="AH435" s="586"/>
      <c r="AI435" s="586"/>
      <c r="AJ435" s="586"/>
      <c r="AK435" s="586"/>
      <c r="AL435" s="586"/>
      <c r="AM435" s="586"/>
      <c r="AN435" s="586"/>
      <c r="AO435" s="586"/>
      <c r="AP435" s="586"/>
      <c r="AQ435" s="586"/>
      <c r="AR435" s="586"/>
      <c r="AS435" s="586"/>
      <c r="AT435" s="586"/>
      <c r="AU435" s="586"/>
      <c r="AV435" s="586"/>
      <c r="AW435" s="586"/>
      <c r="AX435" s="586"/>
      <c r="AY435" s="586"/>
      <c r="AZ435" s="648"/>
      <c r="BA435" s="232"/>
    </row>
    <row r="436" spans="1:53" s="251" customFormat="1" ht="20.25" customHeight="1">
      <c r="A436" s="105" t="s">
        <v>46</v>
      </c>
      <c r="B436" s="102" t="s">
        <v>286</v>
      </c>
      <c r="C436" s="229"/>
      <c r="D436" s="229"/>
      <c r="E436" s="229"/>
      <c r="F436" s="229"/>
      <c r="G436" s="583"/>
      <c r="H436" s="229"/>
      <c r="I436" s="229"/>
      <c r="J436" s="586">
        <f>J438</f>
        <v>47360</v>
      </c>
      <c r="K436" s="586">
        <f t="shared" ref="K436:AW436" si="650">K438</f>
        <v>15360</v>
      </c>
      <c r="L436" s="586">
        <f t="shared" si="650"/>
        <v>0</v>
      </c>
      <c r="M436" s="586">
        <f t="shared" si="650"/>
        <v>0</v>
      </c>
      <c r="N436" s="586">
        <f t="shared" si="650"/>
        <v>0</v>
      </c>
      <c r="O436" s="586">
        <f t="shared" si="650"/>
        <v>0</v>
      </c>
      <c r="P436" s="586">
        <f t="shared" si="650"/>
        <v>0</v>
      </c>
      <c r="Q436" s="586">
        <f t="shared" si="650"/>
        <v>0</v>
      </c>
      <c r="R436" s="586">
        <f t="shared" si="650"/>
        <v>35360</v>
      </c>
      <c r="S436" s="586">
        <f t="shared" si="650"/>
        <v>14615</v>
      </c>
      <c r="T436" s="586">
        <f t="shared" si="650"/>
        <v>0</v>
      </c>
      <c r="U436" s="586">
        <f t="shared" si="650"/>
        <v>0</v>
      </c>
      <c r="V436" s="586">
        <f t="shared" si="650"/>
        <v>7311</v>
      </c>
      <c r="W436" s="586">
        <f t="shared" si="650"/>
        <v>0</v>
      </c>
      <c r="X436" s="586">
        <f t="shared" si="650"/>
        <v>0</v>
      </c>
      <c r="Y436" s="586">
        <f t="shared" si="650"/>
        <v>0</v>
      </c>
      <c r="Z436" s="586">
        <f t="shared" si="650"/>
        <v>0</v>
      </c>
      <c r="AA436" s="586">
        <f t="shared" si="650"/>
        <v>0</v>
      </c>
      <c r="AB436" s="586">
        <f t="shared" si="650"/>
        <v>0</v>
      </c>
      <c r="AC436" s="586">
        <f t="shared" si="650"/>
        <v>0</v>
      </c>
      <c r="AD436" s="586">
        <f t="shared" si="650"/>
        <v>0</v>
      </c>
      <c r="AE436" s="586">
        <f t="shared" si="650"/>
        <v>0</v>
      </c>
      <c r="AF436" s="586">
        <f t="shared" si="650"/>
        <v>0</v>
      </c>
      <c r="AG436" s="586">
        <f t="shared" si="650"/>
        <v>39311</v>
      </c>
      <c r="AH436" s="586">
        <f t="shared" si="650"/>
        <v>7311</v>
      </c>
      <c r="AI436" s="586">
        <f t="shared" si="650"/>
        <v>0</v>
      </c>
      <c r="AJ436" s="586">
        <f t="shared" si="650"/>
        <v>0</v>
      </c>
      <c r="AK436" s="586">
        <f t="shared" si="650"/>
        <v>6513</v>
      </c>
      <c r="AL436" s="586">
        <f t="shared" si="650"/>
        <v>6513</v>
      </c>
      <c r="AM436" s="586">
        <f t="shared" si="650"/>
        <v>0</v>
      </c>
      <c r="AN436" s="586">
        <f t="shared" si="650"/>
        <v>0</v>
      </c>
      <c r="AO436" s="586">
        <f t="shared" si="650"/>
        <v>7200</v>
      </c>
      <c r="AP436" s="586">
        <f t="shared" si="650"/>
        <v>7200</v>
      </c>
      <c r="AQ436" s="586">
        <f t="shared" si="650"/>
        <v>0</v>
      </c>
      <c r="AR436" s="586">
        <f t="shared" si="650"/>
        <v>0</v>
      </c>
      <c r="AS436" s="586">
        <f t="shared" si="650"/>
        <v>14511</v>
      </c>
      <c r="AT436" s="586">
        <f t="shared" si="650"/>
        <v>46511</v>
      </c>
      <c r="AU436" s="586">
        <f t="shared" si="650"/>
        <v>14511</v>
      </c>
      <c r="AV436" s="586">
        <f t="shared" si="650"/>
        <v>104</v>
      </c>
      <c r="AW436" s="586">
        <f t="shared" si="650"/>
        <v>104</v>
      </c>
      <c r="AX436" s="586"/>
      <c r="AY436" s="586"/>
      <c r="AZ436" s="648"/>
      <c r="BA436" s="232"/>
    </row>
    <row r="437" spans="1:53" s="251" customFormat="1" ht="20.25" customHeight="1">
      <c r="A437" s="587"/>
      <c r="B437" s="588" t="s">
        <v>45</v>
      </c>
      <c r="C437" s="229"/>
      <c r="D437" s="229"/>
      <c r="E437" s="229"/>
      <c r="F437" s="229"/>
      <c r="G437" s="583"/>
      <c r="H437" s="229"/>
      <c r="I437" s="229"/>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6"/>
      <c r="AL437" s="586"/>
      <c r="AM437" s="586"/>
      <c r="AN437" s="586"/>
      <c r="AO437" s="586"/>
      <c r="AP437" s="586"/>
      <c r="AQ437" s="586"/>
      <c r="AR437" s="586"/>
      <c r="AS437" s="586"/>
      <c r="AT437" s="586"/>
      <c r="AU437" s="586"/>
      <c r="AV437" s="586"/>
      <c r="AW437" s="586"/>
      <c r="AX437" s="586"/>
      <c r="AY437" s="586"/>
      <c r="AZ437" s="648"/>
      <c r="BA437" s="232"/>
    </row>
    <row r="438" spans="1:53" s="262" customFormat="1" ht="60">
      <c r="A438" s="106" t="s">
        <v>37</v>
      </c>
      <c r="B438" s="589" t="s">
        <v>633</v>
      </c>
      <c r="C438" s="243"/>
      <c r="D438" s="243"/>
      <c r="E438" s="243"/>
      <c r="F438" s="243"/>
      <c r="G438" s="268" t="s">
        <v>1003</v>
      </c>
      <c r="H438" s="490" t="s">
        <v>1004</v>
      </c>
      <c r="I438" s="584" t="s">
        <v>644</v>
      </c>
      <c r="J438" s="591">
        <v>47360</v>
      </c>
      <c r="K438" s="591">
        <f>J438-12000-20000</f>
        <v>15360</v>
      </c>
      <c r="L438" s="273"/>
      <c r="M438" s="273"/>
      <c r="N438" s="273"/>
      <c r="O438" s="273"/>
      <c r="P438" s="212"/>
      <c r="Q438" s="212"/>
      <c r="R438" s="273">
        <v>35360</v>
      </c>
      <c r="S438" s="273">
        <v>14615</v>
      </c>
      <c r="T438" s="273"/>
      <c r="U438" s="273"/>
      <c r="V438" s="273">
        <v>7311</v>
      </c>
      <c r="W438" s="273"/>
      <c r="X438" s="273"/>
      <c r="Y438" s="273"/>
      <c r="Z438" s="273"/>
      <c r="AA438" s="273"/>
      <c r="AB438" s="273"/>
      <c r="AC438" s="273"/>
      <c r="AD438" s="273"/>
      <c r="AE438" s="273"/>
      <c r="AF438" s="273"/>
      <c r="AG438" s="212">
        <f>32000+AH438</f>
        <v>39311</v>
      </c>
      <c r="AH438" s="212">
        <v>7311</v>
      </c>
      <c r="AI438" s="212"/>
      <c r="AJ438" s="212"/>
      <c r="AK438" s="212">
        <v>6513</v>
      </c>
      <c r="AL438" s="212">
        <v>6513</v>
      </c>
      <c r="AM438" s="212"/>
      <c r="AN438" s="212"/>
      <c r="AO438" s="591">
        <f>AP438</f>
        <v>7200</v>
      </c>
      <c r="AP438" s="591">
        <v>7200</v>
      </c>
      <c r="AQ438" s="273"/>
      <c r="AR438" s="273"/>
      <c r="AS438" s="273">
        <v>14511</v>
      </c>
      <c r="AT438" s="273">
        <f>AU438+32000</f>
        <v>46511</v>
      </c>
      <c r="AU438" s="273">
        <v>14511</v>
      </c>
      <c r="AV438" s="273">
        <f>AW438</f>
        <v>104</v>
      </c>
      <c r="AW438" s="273">
        <f>S438-AU438</f>
        <v>104</v>
      </c>
      <c r="AX438" s="273"/>
      <c r="AY438" s="273"/>
      <c r="AZ438" s="268"/>
      <c r="BA438" s="201">
        <f>+AW438</f>
        <v>104</v>
      </c>
    </row>
    <row r="439" spans="1:53" s="251" customFormat="1" ht="33" customHeight="1">
      <c r="A439" s="105" t="s">
        <v>278</v>
      </c>
      <c r="B439" s="102" t="s">
        <v>287</v>
      </c>
      <c r="C439" s="229"/>
      <c r="D439" s="229"/>
      <c r="E439" s="229"/>
      <c r="F439" s="229"/>
      <c r="G439" s="583"/>
      <c r="H439" s="229"/>
      <c r="I439" s="584"/>
      <c r="J439" s="586">
        <f t="shared" ref="J439:AV439" si="651">SUM(J441:J446)</f>
        <v>42700</v>
      </c>
      <c r="K439" s="586">
        <f>SUM(K441:K446)</f>
        <v>42700</v>
      </c>
      <c r="L439" s="586">
        <f t="shared" si="651"/>
        <v>0</v>
      </c>
      <c r="M439" s="586">
        <f t="shared" si="651"/>
        <v>0</v>
      </c>
      <c r="N439" s="586">
        <f t="shared" si="651"/>
        <v>0</v>
      </c>
      <c r="O439" s="586">
        <f t="shared" si="651"/>
        <v>0</v>
      </c>
      <c r="P439" s="586">
        <f t="shared" si="651"/>
        <v>0</v>
      </c>
      <c r="Q439" s="586">
        <f t="shared" si="651"/>
        <v>0</v>
      </c>
      <c r="R439" s="586">
        <f t="shared" si="651"/>
        <v>42700</v>
      </c>
      <c r="S439" s="586">
        <f t="shared" si="651"/>
        <v>33400</v>
      </c>
      <c r="T439" s="586">
        <f t="shared" si="651"/>
        <v>0</v>
      </c>
      <c r="U439" s="586">
        <f t="shared" si="651"/>
        <v>0</v>
      </c>
      <c r="V439" s="586">
        <f t="shared" si="651"/>
        <v>3260</v>
      </c>
      <c r="W439" s="586">
        <f t="shared" si="651"/>
        <v>0</v>
      </c>
      <c r="X439" s="586">
        <f t="shared" si="651"/>
        <v>0</v>
      </c>
      <c r="Y439" s="586">
        <f t="shared" si="651"/>
        <v>0</v>
      </c>
      <c r="Z439" s="586">
        <f t="shared" si="651"/>
        <v>0</v>
      </c>
      <c r="AA439" s="586">
        <f t="shared" si="651"/>
        <v>0</v>
      </c>
      <c r="AB439" s="586">
        <f t="shared" si="651"/>
        <v>0</v>
      </c>
      <c r="AC439" s="586">
        <f t="shared" si="651"/>
        <v>0</v>
      </c>
      <c r="AD439" s="586">
        <f t="shared" si="651"/>
        <v>0</v>
      </c>
      <c r="AE439" s="586">
        <f t="shared" si="651"/>
        <v>0</v>
      </c>
      <c r="AF439" s="586">
        <f t="shared" si="651"/>
        <v>0</v>
      </c>
      <c r="AG439" s="586">
        <f t="shared" si="651"/>
        <v>6610</v>
      </c>
      <c r="AH439" s="586">
        <f t="shared" si="651"/>
        <v>6610</v>
      </c>
      <c r="AI439" s="586">
        <f t="shared" si="651"/>
        <v>0</v>
      </c>
      <c r="AJ439" s="586">
        <f t="shared" si="651"/>
        <v>0</v>
      </c>
      <c r="AK439" s="586">
        <f t="shared" si="651"/>
        <v>12121</v>
      </c>
      <c r="AL439" s="586">
        <f t="shared" si="651"/>
        <v>12121</v>
      </c>
      <c r="AM439" s="586">
        <f t="shared" si="651"/>
        <v>0</v>
      </c>
      <c r="AN439" s="586">
        <f t="shared" si="651"/>
        <v>0</v>
      </c>
      <c r="AO439" s="586">
        <f t="shared" si="651"/>
        <v>9000</v>
      </c>
      <c r="AP439" s="586">
        <f t="shared" si="651"/>
        <v>9000</v>
      </c>
      <c r="AQ439" s="586">
        <f t="shared" si="651"/>
        <v>0</v>
      </c>
      <c r="AR439" s="586">
        <f t="shared" si="651"/>
        <v>0</v>
      </c>
      <c r="AS439" s="586">
        <f t="shared" si="651"/>
        <v>18800</v>
      </c>
      <c r="AT439" s="586">
        <f t="shared" si="651"/>
        <v>18800</v>
      </c>
      <c r="AU439" s="586">
        <f t="shared" si="651"/>
        <v>15610</v>
      </c>
      <c r="AV439" s="586">
        <f t="shared" si="651"/>
        <v>17250</v>
      </c>
      <c r="AW439" s="586">
        <f>SUM(AW441:AW446)</f>
        <v>17250</v>
      </c>
      <c r="AX439" s="586"/>
      <c r="AY439" s="586"/>
      <c r="AZ439" s="648"/>
      <c r="BA439" s="201"/>
    </row>
    <row r="440" spans="1:53" s="251" customFormat="1" ht="20.25" customHeight="1">
      <c r="A440" s="587"/>
      <c r="B440" s="588" t="s">
        <v>45</v>
      </c>
      <c r="C440" s="229"/>
      <c r="D440" s="229"/>
      <c r="E440" s="229"/>
      <c r="F440" s="229"/>
      <c r="G440" s="583"/>
      <c r="H440" s="229"/>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4"/>
      <c r="AL440" s="584"/>
      <c r="AM440" s="584"/>
      <c r="AN440" s="584"/>
      <c r="AO440" s="584"/>
      <c r="AP440" s="584"/>
      <c r="AQ440" s="584"/>
      <c r="AR440" s="584"/>
      <c r="AS440" s="584"/>
      <c r="AT440" s="584"/>
      <c r="AU440" s="584"/>
      <c r="AV440" s="584"/>
      <c r="AW440" s="584"/>
      <c r="AX440" s="586"/>
      <c r="AY440" s="586"/>
      <c r="AZ440" s="648"/>
      <c r="BA440" s="201"/>
    </row>
    <row r="441" spans="1:53" s="262" customFormat="1" ht="45" customHeight="1">
      <c r="A441" s="106" t="s">
        <v>37</v>
      </c>
      <c r="B441" s="108" t="s">
        <v>634</v>
      </c>
      <c r="C441" s="243"/>
      <c r="D441" s="243"/>
      <c r="E441" s="243"/>
      <c r="F441" s="243"/>
      <c r="G441" s="268" t="s">
        <v>1005</v>
      </c>
      <c r="H441" s="490" t="s">
        <v>883</v>
      </c>
      <c r="I441" s="584" t="s">
        <v>623</v>
      </c>
      <c r="J441" s="591">
        <v>4700</v>
      </c>
      <c r="K441" s="591">
        <v>4700</v>
      </c>
      <c r="L441" s="273"/>
      <c r="M441" s="273"/>
      <c r="N441" s="273"/>
      <c r="O441" s="273"/>
      <c r="P441" s="212"/>
      <c r="Q441" s="212"/>
      <c r="R441" s="273">
        <f>S441</f>
        <v>4700</v>
      </c>
      <c r="S441" s="273">
        <v>4700</v>
      </c>
      <c r="T441" s="273"/>
      <c r="U441" s="273"/>
      <c r="V441" s="273">
        <v>60</v>
      </c>
      <c r="W441" s="273"/>
      <c r="X441" s="273"/>
      <c r="Y441" s="273"/>
      <c r="Z441" s="273"/>
      <c r="AA441" s="273"/>
      <c r="AB441" s="273"/>
      <c r="AC441" s="273"/>
      <c r="AD441" s="273"/>
      <c r="AE441" s="273"/>
      <c r="AF441" s="273"/>
      <c r="AG441" s="212">
        <v>1760</v>
      </c>
      <c r="AH441" s="212">
        <v>1760</v>
      </c>
      <c r="AI441" s="212"/>
      <c r="AJ441" s="212"/>
      <c r="AK441" s="212">
        <v>2470</v>
      </c>
      <c r="AL441" s="212">
        <v>2470</v>
      </c>
      <c r="AM441" s="212"/>
      <c r="AN441" s="212"/>
      <c r="AO441" s="591">
        <f>AP441</f>
        <v>2050</v>
      </c>
      <c r="AP441" s="591">
        <v>2050</v>
      </c>
      <c r="AQ441" s="273"/>
      <c r="AR441" s="273"/>
      <c r="AS441" s="273">
        <v>3810</v>
      </c>
      <c r="AT441" s="273">
        <v>3810</v>
      </c>
      <c r="AU441" s="273">
        <v>3810</v>
      </c>
      <c r="AV441" s="273">
        <f>AW441</f>
        <v>800</v>
      </c>
      <c r="AW441" s="273">
        <v>800</v>
      </c>
      <c r="AX441" s="273"/>
      <c r="AY441" s="273"/>
      <c r="AZ441" s="665" t="s">
        <v>1006</v>
      </c>
      <c r="BA441" s="201"/>
    </row>
    <row r="442" spans="1:53" s="262" customFormat="1" ht="30">
      <c r="A442" s="106" t="s">
        <v>39</v>
      </c>
      <c r="B442" s="108" t="s">
        <v>635</v>
      </c>
      <c r="C442" s="243"/>
      <c r="D442" s="243"/>
      <c r="E442" s="243"/>
      <c r="F442" s="243"/>
      <c r="G442" s="268" t="s">
        <v>1007</v>
      </c>
      <c r="H442" s="490" t="s">
        <v>883</v>
      </c>
      <c r="I442" s="584" t="s">
        <v>861</v>
      </c>
      <c r="J442" s="591">
        <v>9200</v>
      </c>
      <c r="K442" s="591">
        <v>9200</v>
      </c>
      <c r="L442" s="273"/>
      <c r="M442" s="273"/>
      <c r="N442" s="273"/>
      <c r="O442" s="273"/>
      <c r="P442" s="212"/>
      <c r="Q442" s="212"/>
      <c r="R442" s="273">
        <f>S442</f>
        <v>9200</v>
      </c>
      <c r="S442" s="273">
        <v>9200</v>
      </c>
      <c r="T442" s="273"/>
      <c r="U442" s="273"/>
      <c r="V442" s="273">
        <v>200</v>
      </c>
      <c r="W442" s="273"/>
      <c r="X442" s="273"/>
      <c r="Y442" s="273"/>
      <c r="Z442" s="273"/>
      <c r="AA442" s="273"/>
      <c r="AB442" s="273"/>
      <c r="AC442" s="273"/>
      <c r="AD442" s="273"/>
      <c r="AE442" s="273"/>
      <c r="AF442" s="273"/>
      <c r="AG442" s="212">
        <v>4700</v>
      </c>
      <c r="AH442" s="212">
        <v>4700</v>
      </c>
      <c r="AI442" s="212"/>
      <c r="AJ442" s="212"/>
      <c r="AK442" s="212">
        <v>3580</v>
      </c>
      <c r="AL442" s="212">
        <v>3580</v>
      </c>
      <c r="AM442" s="212"/>
      <c r="AN442" s="212"/>
      <c r="AO442" s="591">
        <f>AP442</f>
        <v>2750</v>
      </c>
      <c r="AP442" s="591">
        <v>2750</v>
      </c>
      <c r="AQ442" s="273"/>
      <c r="AR442" s="273"/>
      <c r="AS442" s="273">
        <v>7450</v>
      </c>
      <c r="AT442" s="273">
        <v>7450</v>
      </c>
      <c r="AU442" s="273">
        <v>7450</v>
      </c>
      <c r="AV442" s="273">
        <f t="shared" ref="AV442:AV446" si="652">AW442</f>
        <v>1700</v>
      </c>
      <c r="AW442" s="273">
        <v>1700</v>
      </c>
      <c r="AX442" s="273"/>
      <c r="AY442" s="273"/>
      <c r="AZ442" s="666"/>
      <c r="BA442" s="201">
        <f>+AW442</f>
        <v>1700</v>
      </c>
    </row>
    <row r="443" spans="1:53" s="262" customFormat="1" ht="45">
      <c r="A443" s="106" t="s">
        <v>77</v>
      </c>
      <c r="B443" s="593" t="s">
        <v>881</v>
      </c>
      <c r="C443" s="243"/>
      <c r="D443" s="243"/>
      <c r="E443" s="243" t="s">
        <v>813</v>
      </c>
      <c r="F443" s="243"/>
      <c r="G443" s="592" t="s">
        <v>882</v>
      </c>
      <c r="H443" s="490" t="s">
        <v>883</v>
      </c>
      <c r="I443" s="594" t="s">
        <v>884</v>
      </c>
      <c r="J443" s="591">
        <v>14300</v>
      </c>
      <c r="K443" s="591">
        <v>14300</v>
      </c>
      <c r="L443" s="595"/>
      <c r="M443" s="595"/>
      <c r="N443" s="595"/>
      <c r="O443" s="595"/>
      <c r="P443" s="596"/>
      <c r="Q443" s="596"/>
      <c r="R443" s="595">
        <v>14300</v>
      </c>
      <c r="S443" s="595">
        <v>5000</v>
      </c>
      <c r="T443" s="595"/>
      <c r="U443" s="595"/>
      <c r="V443" s="595">
        <v>3000</v>
      </c>
      <c r="W443" s="595"/>
      <c r="X443" s="595"/>
      <c r="Y443" s="595"/>
      <c r="Z443" s="595"/>
      <c r="AA443" s="595"/>
      <c r="AB443" s="595"/>
      <c r="AC443" s="595"/>
      <c r="AD443" s="595"/>
      <c r="AE443" s="595"/>
      <c r="AF443" s="595"/>
      <c r="AG443" s="596"/>
      <c r="AH443" s="596"/>
      <c r="AI443" s="596"/>
      <c r="AJ443" s="596"/>
      <c r="AK443" s="596"/>
      <c r="AL443" s="596"/>
      <c r="AM443" s="596"/>
      <c r="AN443" s="596"/>
      <c r="AO443" s="591">
        <v>1200</v>
      </c>
      <c r="AP443" s="591">
        <v>1200</v>
      </c>
      <c r="AQ443" s="595"/>
      <c r="AR443" s="595"/>
      <c r="AS443" s="595">
        <v>4390</v>
      </c>
      <c r="AT443" s="595">
        <v>4390</v>
      </c>
      <c r="AU443" s="595">
        <v>1200</v>
      </c>
      <c r="AV443" s="273">
        <f t="shared" si="652"/>
        <v>3800</v>
      </c>
      <c r="AW443" s="273">
        <f>S443-AU443</f>
        <v>3800</v>
      </c>
      <c r="AX443" s="595"/>
      <c r="AY443" s="595"/>
      <c r="AZ443" s="268" t="s">
        <v>1008</v>
      </c>
      <c r="BA443" s="201"/>
    </row>
    <row r="444" spans="1:53" s="262" customFormat="1" ht="25.5">
      <c r="A444" s="106" t="s">
        <v>37</v>
      </c>
      <c r="B444" s="108" t="s">
        <v>636</v>
      </c>
      <c r="C444" s="243"/>
      <c r="D444" s="243"/>
      <c r="E444" s="243"/>
      <c r="F444" s="243"/>
      <c r="G444" s="268" t="s">
        <v>1009</v>
      </c>
      <c r="H444" s="490" t="s">
        <v>1010</v>
      </c>
      <c r="I444" s="594" t="s">
        <v>862</v>
      </c>
      <c r="J444" s="273">
        <v>5000</v>
      </c>
      <c r="K444" s="273">
        <v>5000</v>
      </c>
      <c r="L444" s="273"/>
      <c r="M444" s="273"/>
      <c r="N444" s="273"/>
      <c r="O444" s="273"/>
      <c r="P444" s="212"/>
      <c r="Q444" s="212"/>
      <c r="R444" s="273">
        <v>5000</v>
      </c>
      <c r="S444" s="273">
        <v>5000</v>
      </c>
      <c r="T444" s="273"/>
      <c r="U444" s="273"/>
      <c r="V444" s="273"/>
      <c r="W444" s="273"/>
      <c r="X444" s="273"/>
      <c r="Y444" s="273"/>
      <c r="Z444" s="273"/>
      <c r="AA444" s="273"/>
      <c r="AB444" s="273"/>
      <c r="AC444" s="273"/>
      <c r="AD444" s="273"/>
      <c r="AE444" s="273"/>
      <c r="AF444" s="273"/>
      <c r="AG444" s="212">
        <v>50</v>
      </c>
      <c r="AH444" s="212">
        <v>50</v>
      </c>
      <c r="AI444" s="212"/>
      <c r="AJ444" s="212"/>
      <c r="AK444" s="212">
        <v>2100</v>
      </c>
      <c r="AL444" s="212">
        <v>2100</v>
      </c>
      <c r="AM444" s="212"/>
      <c r="AN444" s="212"/>
      <c r="AO444" s="591">
        <f>AP444</f>
        <v>1000</v>
      </c>
      <c r="AP444" s="591">
        <v>1000</v>
      </c>
      <c r="AQ444" s="273"/>
      <c r="AR444" s="273"/>
      <c r="AS444" s="273">
        <v>1050</v>
      </c>
      <c r="AT444" s="273">
        <f>AU444</f>
        <v>1050</v>
      </c>
      <c r="AU444" s="273">
        <v>1050</v>
      </c>
      <c r="AV444" s="273">
        <f>AW444</f>
        <v>3800</v>
      </c>
      <c r="AW444" s="273">
        <v>3800</v>
      </c>
      <c r="AX444" s="273"/>
      <c r="AY444" s="273"/>
      <c r="AZ444" s="268"/>
      <c r="BA444" s="201"/>
    </row>
    <row r="445" spans="1:53" s="262" customFormat="1" ht="25.5">
      <c r="A445" s="106" t="s">
        <v>39</v>
      </c>
      <c r="B445" s="108" t="s">
        <v>638</v>
      </c>
      <c r="C445" s="243"/>
      <c r="D445" s="243"/>
      <c r="E445" s="243"/>
      <c r="F445" s="243"/>
      <c r="G445" s="268" t="s">
        <v>1011</v>
      </c>
      <c r="H445" s="490" t="s">
        <v>1010</v>
      </c>
      <c r="I445" s="594" t="s">
        <v>863</v>
      </c>
      <c r="J445" s="273">
        <v>4500</v>
      </c>
      <c r="K445" s="273">
        <v>4500</v>
      </c>
      <c r="L445" s="273"/>
      <c r="M445" s="273"/>
      <c r="N445" s="273"/>
      <c r="O445" s="273"/>
      <c r="P445" s="212"/>
      <c r="Q445" s="212"/>
      <c r="R445" s="273">
        <v>4500</v>
      </c>
      <c r="S445" s="273">
        <v>4500</v>
      </c>
      <c r="T445" s="273"/>
      <c r="U445" s="273"/>
      <c r="V445" s="273"/>
      <c r="W445" s="273"/>
      <c r="X445" s="273"/>
      <c r="Y445" s="273"/>
      <c r="Z445" s="273"/>
      <c r="AA445" s="273"/>
      <c r="AB445" s="273"/>
      <c r="AC445" s="273"/>
      <c r="AD445" s="273"/>
      <c r="AE445" s="273"/>
      <c r="AF445" s="273"/>
      <c r="AG445" s="212">
        <v>50</v>
      </c>
      <c r="AH445" s="212">
        <v>50</v>
      </c>
      <c r="AI445" s="212"/>
      <c r="AJ445" s="212"/>
      <c r="AK445" s="212">
        <v>1871</v>
      </c>
      <c r="AL445" s="212">
        <v>1871</v>
      </c>
      <c r="AM445" s="212"/>
      <c r="AN445" s="212"/>
      <c r="AO445" s="591">
        <f t="shared" ref="AO445" si="653">AP445</f>
        <v>1000</v>
      </c>
      <c r="AP445" s="591">
        <v>1000</v>
      </c>
      <c r="AQ445" s="273"/>
      <c r="AR445" s="273"/>
      <c r="AS445" s="273">
        <v>1050</v>
      </c>
      <c r="AT445" s="273">
        <f t="shared" ref="AT445:AT446" si="654">AU445</f>
        <v>1050</v>
      </c>
      <c r="AU445" s="273">
        <v>1050</v>
      </c>
      <c r="AV445" s="273">
        <f t="shared" si="652"/>
        <v>3350</v>
      </c>
      <c r="AW445" s="273">
        <v>3350</v>
      </c>
      <c r="AX445" s="273"/>
      <c r="AY445" s="273"/>
      <c r="AZ445" s="591"/>
      <c r="BA445" s="201"/>
    </row>
    <row r="446" spans="1:53" s="262" customFormat="1" ht="25.5">
      <c r="A446" s="106" t="s">
        <v>77</v>
      </c>
      <c r="B446" s="108" t="s">
        <v>637</v>
      </c>
      <c r="C446" s="243"/>
      <c r="D446" s="243"/>
      <c r="E446" s="243"/>
      <c r="F446" s="243"/>
      <c r="G446" s="268" t="s">
        <v>1009</v>
      </c>
      <c r="H446" s="490" t="s">
        <v>1010</v>
      </c>
      <c r="I446" s="594" t="s">
        <v>864</v>
      </c>
      <c r="J446" s="273">
        <v>5000</v>
      </c>
      <c r="K446" s="273">
        <v>5000</v>
      </c>
      <c r="L446" s="273"/>
      <c r="M446" s="273"/>
      <c r="N446" s="273"/>
      <c r="O446" s="273"/>
      <c r="P446" s="212"/>
      <c r="Q446" s="212"/>
      <c r="R446" s="273">
        <v>5000</v>
      </c>
      <c r="S446" s="273">
        <v>5000</v>
      </c>
      <c r="T446" s="273"/>
      <c r="U446" s="273"/>
      <c r="V446" s="273"/>
      <c r="W446" s="273"/>
      <c r="X446" s="273"/>
      <c r="Y446" s="273"/>
      <c r="Z446" s="273"/>
      <c r="AA446" s="273"/>
      <c r="AB446" s="273"/>
      <c r="AC446" s="273"/>
      <c r="AD446" s="273"/>
      <c r="AE446" s="273"/>
      <c r="AF446" s="273"/>
      <c r="AG446" s="212">
        <v>50</v>
      </c>
      <c r="AH446" s="212">
        <v>50</v>
      </c>
      <c r="AI446" s="212"/>
      <c r="AJ446" s="212"/>
      <c r="AK446" s="212">
        <v>2100</v>
      </c>
      <c r="AL446" s="212">
        <v>2100</v>
      </c>
      <c r="AM446" s="212"/>
      <c r="AN446" s="212"/>
      <c r="AO446" s="591">
        <f>AP446</f>
        <v>1000</v>
      </c>
      <c r="AP446" s="591">
        <v>1000</v>
      </c>
      <c r="AQ446" s="273"/>
      <c r="AR446" s="273"/>
      <c r="AS446" s="273">
        <v>1050</v>
      </c>
      <c r="AT446" s="273">
        <f t="shared" si="654"/>
        <v>1050</v>
      </c>
      <c r="AU446" s="273">
        <v>1050</v>
      </c>
      <c r="AV446" s="273">
        <f t="shared" si="652"/>
        <v>3800</v>
      </c>
      <c r="AW446" s="273">
        <v>3800</v>
      </c>
      <c r="AX446" s="273"/>
      <c r="AY446" s="273"/>
      <c r="AZ446" s="268"/>
      <c r="BA446" s="201"/>
    </row>
    <row r="447" spans="1:53" s="251" customFormat="1" ht="20.25" customHeight="1">
      <c r="A447" s="105" t="s">
        <v>279</v>
      </c>
      <c r="B447" s="102" t="s">
        <v>909</v>
      </c>
      <c r="C447" s="229"/>
      <c r="D447" s="229"/>
      <c r="E447" s="229"/>
      <c r="F447" s="229"/>
      <c r="G447" s="583"/>
      <c r="H447" s="229"/>
      <c r="I447" s="229"/>
      <c r="J447" s="586">
        <f>SUM(J449:J451)</f>
        <v>35092</v>
      </c>
      <c r="K447" s="586">
        <f t="shared" ref="K447:AV447" si="655">SUM(K449:K451)</f>
        <v>32092</v>
      </c>
      <c r="L447" s="586">
        <f t="shared" si="655"/>
        <v>0</v>
      </c>
      <c r="M447" s="586">
        <f t="shared" si="655"/>
        <v>0</v>
      </c>
      <c r="N447" s="586">
        <f t="shared" si="655"/>
        <v>0</v>
      </c>
      <c r="O447" s="586">
        <f t="shared" si="655"/>
        <v>0</v>
      </c>
      <c r="P447" s="586">
        <f t="shared" si="655"/>
        <v>0</v>
      </c>
      <c r="Q447" s="586">
        <f t="shared" si="655"/>
        <v>0</v>
      </c>
      <c r="R447" s="586">
        <f>SUM(R449:R451)</f>
        <v>35092</v>
      </c>
      <c r="S447" s="586">
        <f t="shared" si="655"/>
        <v>32092</v>
      </c>
      <c r="T447" s="586">
        <f t="shared" si="655"/>
        <v>0</v>
      </c>
      <c r="U447" s="586">
        <f t="shared" si="655"/>
        <v>0</v>
      </c>
      <c r="V447" s="586">
        <f t="shared" si="655"/>
        <v>0</v>
      </c>
      <c r="W447" s="586">
        <f t="shared" si="655"/>
        <v>0</v>
      </c>
      <c r="X447" s="586">
        <f t="shared" si="655"/>
        <v>0</v>
      </c>
      <c r="Y447" s="586">
        <f t="shared" si="655"/>
        <v>0</v>
      </c>
      <c r="Z447" s="586">
        <f t="shared" si="655"/>
        <v>0</v>
      </c>
      <c r="AA447" s="586">
        <f t="shared" si="655"/>
        <v>0</v>
      </c>
      <c r="AB447" s="586">
        <f t="shared" si="655"/>
        <v>0</v>
      </c>
      <c r="AC447" s="586">
        <f t="shared" si="655"/>
        <v>0</v>
      </c>
      <c r="AD447" s="586">
        <f t="shared" si="655"/>
        <v>0</v>
      </c>
      <c r="AE447" s="586">
        <f t="shared" si="655"/>
        <v>0</v>
      </c>
      <c r="AF447" s="586">
        <f t="shared" si="655"/>
        <v>0</v>
      </c>
      <c r="AG447" s="586">
        <f t="shared" si="655"/>
        <v>0</v>
      </c>
      <c r="AH447" s="586">
        <f t="shared" si="655"/>
        <v>0</v>
      </c>
      <c r="AI447" s="586">
        <f t="shared" si="655"/>
        <v>0</v>
      </c>
      <c r="AJ447" s="586">
        <f t="shared" si="655"/>
        <v>0</v>
      </c>
      <c r="AK447" s="586">
        <f t="shared" si="655"/>
        <v>810</v>
      </c>
      <c r="AL447" s="586">
        <f t="shared" si="655"/>
        <v>810</v>
      </c>
      <c r="AM447" s="586">
        <f t="shared" si="655"/>
        <v>0</v>
      </c>
      <c r="AN447" s="586">
        <f t="shared" si="655"/>
        <v>0</v>
      </c>
      <c r="AO447" s="586">
        <f t="shared" si="655"/>
        <v>2500</v>
      </c>
      <c r="AP447" s="586">
        <f t="shared" si="655"/>
        <v>1000</v>
      </c>
      <c r="AQ447" s="586">
        <f t="shared" si="655"/>
        <v>0</v>
      </c>
      <c r="AR447" s="586">
        <f t="shared" si="655"/>
        <v>0</v>
      </c>
      <c r="AS447" s="586">
        <f t="shared" si="655"/>
        <v>2500</v>
      </c>
      <c r="AT447" s="586">
        <f t="shared" si="655"/>
        <v>2500</v>
      </c>
      <c r="AU447" s="586">
        <f t="shared" si="655"/>
        <v>1000</v>
      </c>
      <c r="AV447" s="586">
        <f t="shared" si="655"/>
        <v>7446</v>
      </c>
      <c r="AW447" s="586">
        <f>SUM(AW449:AW451)</f>
        <v>7446</v>
      </c>
      <c r="AX447" s="586"/>
      <c r="AY447" s="586"/>
      <c r="AZ447" s="597"/>
      <c r="BA447" s="201"/>
    </row>
    <row r="448" spans="1:53" s="251" customFormat="1" ht="20.25" customHeight="1">
      <c r="A448" s="587"/>
      <c r="B448" s="588" t="s">
        <v>45</v>
      </c>
      <c r="C448" s="229"/>
      <c r="D448" s="229"/>
      <c r="E448" s="229"/>
      <c r="F448" s="229"/>
      <c r="G448" s="583"/>
      <c r="H448" s="229"/>
      <c r="I448" s="229"/>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6"/>
      <c r="AL448" s="586"/>
      <c r="AM448" s="586"/>
      <c r="AN448" s="586"/>
      <c r="AO448" s="586"/>
      <c r="AP448" s="586"/>
      <c r="AQ448" s="586"/>
      <c r="AR448" s="586"/>
      <c r="AS448" s="586"/>
      <c r="AT448" s="586"/>
      <c r="AU448" s="586"/>
      <c r="AV448" s="586"/>
      <c r="AW448" s="586"/>
      <c r="AX448" s="586"/>
      <c r="AY448" s="586"/>
      <c r="AZ448" s="597"/>
      <c r="BA448" s="201"/>
    </row>
    <row r="449" spans="1:53" s="262" customFormat="1" ht="45">
      <c r="A449" s="106" t="s">
        <v>37</v>
      </c>
      <c r="B449" s="598" t="s">
        <v>624</v>
      </c>
      <c r="C449" s="243"/>
      <c r="D449" s="243"/>
      <c r="E449" s="243"/>
      <c r="F449" s="243"/>
      <c r="G449" s="268" t="s">
        <v>1012</v>
      </c>
      <c r="H449" s="490" t="s">
        <v>1010</v>
      </c>
      <c r="I449" s="599" t="s">
        <v>854</v>
      </c>
      <c r="J449" s="273">
        <v>14592</v>
      </c>
      <c r="K449" s="273">
        <v>11592</v>
      </c>
      <c r="L449" s="273"/>
      <c r="M449" s="273"/>
      <c r="N449" s="273"/>
      <c r="O449" s="273"/>
      <c r="P449" s="212"/>
      <c r="Q449" s="212"/>
      <c r="R449" s="273">
        <v>14592</v>
      </c>
      <c r="S449" s="273">
        <v>11592</v>
      </c>
      <c r="T449" s="273"/>
      <c r="U449" s="273"/>
      <c r="V449" s="273"/>
      <c r="W449" s="273"/>
      <c r="X449" s="273"/>
      <c r="Y449" s="273"/>
      <c r="Z449" s="273"/>
      <c r="AA449" s="273"/>
      <c r="AB449" s="273"/>
      <c r="AC449" s="273"/>
      <c r="AD449" s="273"/>
      <c r="AE449" s="273"/>
      <c r="AF449" s="273"/>
      <c r="AG449" s="212"/>
      <c r="AH449" s="212"/>
      <c r="AI449" s="212"/>
      <c r="AJ449" s="212"/>
      <c r="AK449" s="212">
        <v>300</v>
      </c>
      <c r="AL449" s="212">
        <v>300</v>
      </c>
      <c r="AM449" s="212"/>
      <c r="AN449" s="212"/>
      <c r="AO449" s="591">
        <f>1500+AP449</f>
        <v>2500</v>
      </c>
      <c r="AP449" s="591">
        <v>1000</v>
      </c>
      <c r="AQ449" s="273"/>
      <c r="AR449" s="273"/>
      <c r="AS449" s="273">
        <v>2500</v>
      </c>
      <c r="AT449" s="273">
        <v>2500</v>
      </c>
      <c r="AU449" s="273">
        <v>1000</v>
      </c>
      <c r="AV449" s="273">
        <f>AW449</f>
        <v>1746</v>
      </c>
      <c r="AW449" s="273">
        <f>2316-570</f>
        <v>1746</v>
      </c>
      <c r="AX449" s="273"/>
      <c r="AY449" s="273"/>
      <c r="AZ449" s="261" t="s">
        <v>910</v>
      </c>
      <c r="BA449" s="201">
        <f>+AW449</f>
        <v>1746</v>
      </c>
    </row>
    <row r="450" spans="1:53" s="262" customFormat="1" ht="25.5">
      <c r="A450" s="106" t="s">
        <v>37</v>
      </c>
      <c r="B450" s="108" t="s">
        <v>640</v>
      </c>
      <c r="C450" s="243"/>
      <c r="D450" s="243"/>
      <c r="E450" s="243"/>
      <c r="F450" s="243"/>
      <c r="G450" s="592" t="s">
        <v>1013</v>
      </c>
      <c r="H450" s="490" t="s">
        <v>1014</v>
      </c>
      <c r="I450" s="599" t="s">
        <v>1015</v>
      </c>
      <c r="J450" s="591">
        <v>7000</v>
      </c>
      <c r="K450" s="591">
        <v>7000</v>
      </c>
      <c r="L450" s="273"/>
      <c r="M450" s="273"/>
      <c r="N450" s="273"/>
      <c r="O450" s="273"/>
      <c r="P450" s="212"/>
      <c r="Q450" s="212"/>
      <c r="R450" s="273">
        <v>7000</v>
      </c>
      <c r="S450" s="273">
        <v>7000</v>
      </c>
      <c r="T450" s="273"/>
      <c r="U450" s="273"/>
      <c r="V450" s="273"/>
      <c r="W450" s="273"/>
      <c r="X450" s="273"/>
      <c r="Y450" s="273"/>
      <c r="Z450" s="273"/>
      <c r="AA450" s="273"/>
      <c r="AB450" s="273"/>
      <c r="AC450" s="273"/>
      <c r="AD450" s="273"/>
      <c r="AE450" s="273"/>
      <c r="AF450" s="273"/>
      <c r="AG450" s="212"/>
      <c r="AH450" s="212"/>
      <c r="AI450" s="212"/>
      <c r="AJ450" s="212"/>
      <c r="AK450" s="212">
        <v>160</v>
      </c>
      <c r="AL450" s="212">
        <v>160</v>
      </c>
      <c r="AM450" s="212"/>
      <c r="AN450" s="212"/>
      <c r="AO450" s="591">
        <f t="shared" ref="AO450:AO455" si="656">AP450</f>
        <v>0</v>
      </c>
      <c r="AP450" s="591"/>
      <c r="AQ450" s="273"/>
      <c r="AR450" s="273"/>
      <c r="AS450" s="273">
        <v>0</v>
      </c>
      <c r="AT450" s="273"/>
      <c r="AU450" s="273"/>
      <c r="AV450" s="273">
        <f t="shared" ref="AV450:AV451" si="657">AW450</f>
        <v>2000</v>
      </c>
      <c r="AW450" s="273">
        <v>2000</v>
      </c>
      <c r="AX450" s="273"/>
      <c r="AY450" s="273"/>
      <c r="AZ450" s="582"/>
      <c r="BA450" s="201">
        <f>+AW450</f>
        <v>2000</v>
      </c>
    </row>
    <row r="451" spans="1:53" s="262" customFormat="1" ht="38.25">
      <c r="A451" s="106" t="s">
        <v>77</v>
      </c>
      <c r="B451" s="108" t="s">
        <v>642</v>
      </c>
      <c r="C451" s="243"/>
      <c r="D451" s="243"/>
      <c r="E451" s="243"/>
      <c r="F451" s="243"/>
      <c r="G451" s="582" t="s">
        <v>1016</v>
      </c>
      <c r="H451" s="490" t="s">
        <v>1014</v>
      </c>
      <c r="I451" s="599" t="s">
        <v>1017</v>
      </c>
      <c r="J451" s="591">
        <f>K451</f>
        <v>13500</v>
      </c>
      <c r="K451" s="591">
        <v>13500</v>
      </c>
      <c r="L451" s="273"/>
      <c r="M451" s="273"/>
      <c r="N451" s="273"/>
      <c r="O451" s="273"/>
      <c r="P451" s="212"/>
      <c r="Q451" s="212"/>
      <c r="R451" s="273">
        <v>13500</v>
      </c>
      <c r="S451" s="273">
        <v>13500</v>
      </c>
      <c r="T451" s="273"/>
      <c r="U451" s="273"/>
      <c r="V451" s="273"/>
      <c r="W451" s="273"/>
      <c r="X451" s="273"/>
      <c r="Y451" s="273"/>
      <c r="Z451" s="273"/>
      <c r="AA451" s="273"/>
      <c r="AB451" s="273"/>
      <c r="AC451" s="273"/>
      <c r="AD451" s="273"/>
      <c r="AE451" s="273"/>
      <c r="AF451" s="273"/>
      <c r="AG451" s="212"/>
      <c r="AH451" s="212"/>
      <c r="AI451" s="212"/>
      <c r="AJ451" s="212"/>
      <c r="AK451" s="212">
        <v>350</v>
      </c>
      <c r="AL451" s="212">
        <v>350</v>
      </c>
      <c r="AM451" s="212"/>
      <c r="AN451" s="212"/>
      <c r="AO451" s="591">
        <f t="shared" si="656"/>
        <v>0</v>
      </c>
      <c r="AP451" s="591"/>
      <c r="AQ451" s="273"/>
      <c r="AR451" s="273"/>
      <c r="AS451" s="273">
        <v>0</v>
      </c>
      <c r="AT451" s="273"/>
      <c r="AU451" s="273"/>
      <c r="AV451" s="273">
        <f t="shared" si="657"/>
        <v>3700</v>
      </c>
      <c r="AW451" s="273">
        <v>3700</v>
      </c>
      <c r="AX451" s="273"/>
      <c r="AY451" s="273"/>
      <c r="AZ451" s="582"/>
      <c r="BA451" s="201">
        <f>+AW451</f>
        <v>3700</v>
      </c>
    </row>
    <row r="452" spans="1:53" s="251" customFormat="1" ht="15.75">
      <c r="A452" s="105" t="s">
        <v>931</v>
      </c>
      <c r="B452" s="102" t="s">
        <v>932</v>
      </c>
      <c r="C452" s="229"/>
      <c r="D452" s="229"/>
      <c r="E452" s="229"/>
      <c r="F452" s="229"/>
      <c r="G452" s="583"/>
      <c r="H452" s="229"/>
      <c r="I452" s="229"/>
      <c r="J452" s="586"/>
      <c r="K452" s="586"/>
      <c r="L452" s="586"/>
      <c r="M452" s="586"/>
      <c r="N452" s="586"/>
      <c r="O452" s="586"/>
      <c r="P452" s="586"/>
      <c r="Q452" s="586"/>
      <c r="R452" s="586">
        <f>SUM(R454:R455)</f>
        <v>9800</v>
      </c>
      <c r="S452" s="586">
        <f t="shared" ref="S452:AW452" si="658">SUM(S454:S455)</f>
        <v>9800</v>
      </c>
      <c r="T452" s="586">
        <f t="shared" si="658"/>
        <v>0</v>
      </c>
      <c r="U452" s="586">
        <f t="shared" si="658"/>
        <v>0</v>
      </c>
      <c r="V452" s="586">
        <f t="shared" si="658"/>
        <v>0</v>
      </c>
      <c r="W452" s="586">
        <f t="shared" si="658"/>
        <v>0</v>
      </c>
      <c r="X452" s="586">
        <f t="shared" si="658"/>
        <v>0</v>
      </c>
      <c r="Y452" s="586">
        <f t="shared" si="658"/>
        <v>0</v>
      </c>
      <c r="Z452" s="586">
        <f t="shared" si="658"/>
        <v>0</v>
      </c>
      <c r="AA452" s="586">
        <f t="shared" si="658"/>
        <v>0</v>
      </c>
      <c r="AB452" s="586">
        <f t="shared" si="658"/>
        <v>0</v>
      </c>
      <c r="AC452" s="586">
        <f t="shared" si="658"/>
        <v>0</v>
      </c>
      <c r="AD452" s="586">
        <f t="shared" si="658"/>
        <v>0</v>
      </c>
      <c r="AE452" s="586">
        <f t="shared" si="658"/>
        <v>0</v>
      </c>
      <c r="AF452" s="586">
        <f t="shared" si="658"/>
        <v>0</v>
      </c>
      <c r="AG452" s="586">
        <f t="shared" si="658"/>
        <v>0</v>
      </c>
      <c r="AH452" s="586">
        <f t="shared" si="658"/>
        <v>0</v>
      </c>
      <c r="AI452" s="586">
        <f t="shared" si="658"/>
        <v>0</v>
      </c>
      <c r="AJ452" s="586">
        <f t="shared" si="658"/>
        <v>0</v>
      </c>
      <c r="AK452" s="586">
        <f t="shared" si="658"/>
        <v>200</v>
      </c>
      <c r="AL452" s="586">
        <f t="shared" si="658"/>
        <v>200</v>
      </c>
      <c r="AM452" s="586">
        <f t="shared" si="658"/>
        <v>0</v>
      </c>
      <c r="AN452" s="586">
        <f t="shared" si="658"/>
        <v>0</v>
      </c>
      <c r="AO452" s="586">
        <f t="shared" si="658"/>
        <v>0</v>
      </c>
      <c r="AP452" s="586">
        <f t="shared" si="658"/>
        <v>0</v>
      </c>
      <c r="AQ452" s="586">
        <f t="shared" si="658"/>
        <v>0</v>
      </c>
      <c r="AR452" s="586">
        <f t="shared" si="658"/>
        <v>0</v>
      </c>
      <c r="AS452" s="586">
        <f t="shared" si="658"/>
        <v>0</v>
      </c>
      <c r="AT452" s="586">
        <f t="shared" si="658"/>
        <v>0</v>
      </c>
      <c r="AU452" s="586">
        <f t="shared" si="658"/>
        <v>0</v>
      </c>
      <c r="AV452" s="586">
        <f t="shared" si="658"/>
        <v>200</v>
      </c>
      <c r="AW452" s="586">
        <f t="shared" si="658"/>
        <v>200</v>
      </c>
      <c r="AX452" s="586"/>
      <c r="AY452" s="586"/>
      <c r="AZ452" s="597"/>
      <c r="BA452" s="232"/>
    </row>
    <row r="453" spans="1:53" s="251" customFormat="1" ht="22.5" customHeight="1">
      <c r="A453" s="587"/>
      <c r="B453" s="588" t="s">
        <v>45</v>
      </c>
      <c r="C453" s="229"/>
      <c r="D453" s="229"/>
      <c r="E453" s="229"/>
      <c r="F453" s="229"/>
      <c r="G453" s="583"/>
      <c r="H453" s="229"/>
      <c r="I453" s="229"/>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6"/>
      <c r="AM453" s="586"/>
      <c r="AN453" s="586"/>
      <c r="AO453" s="586"/>
      <c r="AP453" s="586"/>
      <c r="AQ453" s="586"/>
      <c r="AR453" s="586"/>
      <c r="AS453" s="586"/>
      <c r="AT453" s="586"/>
      <c r="AU453" s="586"/>
      <c r="AV453" s="586"/>
      <c r="AW453" s="586"/>
      <c r="AX453" s="586"/>
      <c r="AY453" s="586"/>
      <c r="AZ453" s="597"/>
      <c r="BA453" s="232"/>
    </row>
    <row r="454" spans="1:53" s="262" customFormat="1" ht="21.75" customHeight="1">
      <c r="A454" s="106" t="s">
        <v>37</v>
      </c>
      <c r="B454" s="108" t="s">
        <v>641</v>
      </c>
      <c r="C454" s="243"/>
      <c r="D454" s="243"/>
      <c r="E454" s="243"/>
      <c r="F454" s="243"/>
      <c r="G454" s="590"/>
      <c r="H454" s="243"/>
      <c r="I454" s="243"/>
      <c r="J454" s="591"/>
      <c r="K454" s="591"/>
      <c r="L454" s="273"/>
      <c r="M454" s="273"/>
      <c r="N454" s="273"/>
      <c r="O454" s="273"/>
      <c r="P454" s="212"/>
      <c r="Q454" s="212"/>
      <c r="R454" s="273">
        <v>5000</v>
      </c>
      <c r="S454" s="273">
        <v>5000</v>
      </c>
      <c r="T454" s="273"/>
      <c r="U454" s="273"/>
      <c r="V454" s="273"/>
      <c r="W454" s="273"/>
      <c r="X454" s="273"/>
      <c r="Y454" s="273"/>
      <c r="Z454" s="273"/>
      <c r="AA454" s="273"/>
      <c r="AB454" s="273"/>
      <c r="AC454" s="273"/>
      <c r="AD454" s="273"/>
      <c r="AE454" s="273"/>
      <c r="AF454" s="273"/>
      <c r="AG454" s="212"/>
      <c r="AH454" s="212"/>
      <c r="AI454" s="212"/>
      <c r="AJ454" s="212"/>
      <c r="AK454" s="212">
        <v>100</v>
      </c>
      <c r="AL454" s="212">
        <v>100</v>
      </c>
      <c r="AM454" s="212"/>
      <c r="AN454" s="212"/>
      <c r="AO454" s="591">
        <f>AP454</f>
        <v>0</v>
      </c>
      <c r="AP454" s="591"/>
      <c r="AQ454" s="273"/>
      <c r="AR454" s="273"/>
      <c r="AS454" s="273"/>
      <c r="AT454" s="273"/>
      <c r="AU454" s="273"/>
      <c r="AV454" s="273">
        <f t="shared" ref="AV454" si="659">AW454</f>
        <v>100</v>
      </c>
      <c r="AW454" s="273">
        <v>100</v>
      </c>
      <c r="AX454" s="273"/>
      <c r="AY454" s="273"/>
      <c r="AZ454" s="582"/>
      <c r="BA454" s="201"/>
    </row>
    <row r="455" spans="1:53" s="262" customFormat="1" ht="20.25" customHeight="1">
      <c r="A455" s="106" t="s">
        <v>39</v>
      </c>
      <c r="B455" s="108" t="s">
        <v>639</v>
      </c>
      <c r="C455" s="243"/>
      <c r="D455" s="243"/>
      <c r="E455" s="243"/>
      <c r="F455" s="243"/>
      <c r="G455" s="590"/>
      <c r="H455" s="243"/>
      <c r="I455" s="243"/>
      <c r="J455" s="591"/>
      <c r="K455" s="591"/>
      <c r="L455" s="273"/>
      <c r="M455" s="273"/>
      <c r="N455" s="273"/>
      <c r="O455" s="273"/>
      <c r="P455" s="212"/>
      <c r="Q455" s="212"/>
      <c r="R455" s="273">
        <v>4800</v>
      </c>
      <c r="S455" s="273">
        <v>4800</v>
      </c>
      <c r="T455" s="273"/>
      <c r="U455" s="273"/>
      <c r="V455" s="273"/>
      <c r="W455" s="273"/>
      <c r="X455" s="273"/>
      <c r="Y455" s="273"/>
      <c r="Z455" s="273"/>
      <c r="AA455" s="273"/>
      <c r="AB455" s="273"/>
      <c r="AC455" s="273"/>
      <c r="AD455" s="273"/>
      <c r="AE455" s="273"/>
      <c r="AF455" s="273"/>
      <c r="AG455" s="212"/>
      <c r="AH455" s="212"/>
      <c r="AI455" s="212"/>
      <c r="AJ455" s="212"/>
      <c r="AK455" s="212">
        <v>100</v>
      </c>
      <c r="AL455" s="212">
        <v>100</v>
      </c>
      <c r="AM455" s="212"/>
      <c r="AN455" s="212"/>
      <c r="AO455" s="591">
        <f t="shared" si="656"/>
        <v>0</v>
      </c>
      <c r="AP455" s="591"/>
      <c r="AQ455" s="273"/>
      <c r="AR455" s="273"/>
      <c r="AS455" s="273"/>
      <c r="AT455" s="273"/>
      <c r="AU455" s="273"/>
      <c r="AV455" s="273">
        <v>100</v>
      </c>
      <c r="AW455" s="273">
        <v>100</v>
      </c>
      <c r="AX455" s="273"/>
      <c r="AY455" s="273"/>
      <c r="AZ455" s="582"/>
      <c r="BA455" s="201"/>
    </row>
    <row r="456" spans="1:53" s="262" customFormat="1" ht="15.75">
      <c r="A456" s="106"/>
      <c r="B456" s="108"/>
      <c r="C456" s="243"/>
      <c r="D456" s="243"/>
      <c r="E456" s="243"/>
      <c r="F456" s="243"/>
      <c r="G456" s="590"/>
      <c r="H456" s="243"/>
      <c r="I456" s="243"/>
      <c r="J456" s="591"/>
      <c r="K456" s="591"/>
      <c r="L456" s="273"/>
      <c r="M456" s="273"/>
      <c r="N456" s="273"/>
      <c r="O456" s="273"/>
      <c r="P456" s="212"/>
      <c r="Q456" s="212"/>
      <c r="R456" s="273"/>
      <c r="S456" s="273"/>
      <c r="T456" s="273"/>
      <c r="U456" s="273"/>
      <c r="V456" s="273"/>
      <c r="W456" s="273"/>
      <c r="X456" s="273"/>
      <c r="Y456" s="273"/>
      <c r="Z456" s="273"/>
      <c r="AA456" s="273"/>
      <c r="AB456" s="273"/>
      <c r="AC456" s="273"/>
      <c r="AD456" s="273"/>
      <c r="AE456" s="273"/>
      <c r="AF456" s="273"/>
      <c r="AG456" s="212"/>
      <c r="AH456" s="212"/>
      <c r="AI456" s="212"/>
      <c r="AJ456" s="212"/>
      <c r="AK456" s="212"/>
      <c r="AL456" s="212"/>
      <c r="AM456" s="212"/>
      <c r="AN456" s="212"/>
      <c r="AO456" s="591"/>
      <c r="AP456" s="591"/>
      <c r="AQ456" s="273"/>
      <c r="AR456" s="273"/>
      <c r="AS456" s="273"/>
      <c r="AT456" s="273"/>
      <c r="AU456" s="273"/>
      <c r="AV456" s="273"/>
      <c r="AW456" s="273"/>
      <c r="AX456" s="273"/>
      <c r="AY456" s="273"/>
      <c r="AZ456" s="582"/>
      <c r="BA456" s="201"/>
    </row>
    <row r="457" spans="1:53" s="232" customFormat="1" ht="42.95" customHeight="1">
      <c r="A457" s="305" t="s">
        <v>845</v>
      </c>
      <c r="B457" s="524" t="s">
        <v>802</v>
      </c>
      <c r="C457" s="337"/>
      <c r="D457" s="337"/>
      <c r="E457" s="337"/>
      <c r="F457" s="337"/>
      <c r="G457" s="337"/>
      <c r="H457" s="337"/>
      <c r="I457" s="523"/>
      <c r="J457" s="525"/>
      <c r="K457" s="525"/>
      <c r="L457" s="525"/>
      <c r="M457" s="525"/>
      <c r="N457" s="525"/>
      <c r="O457" s="525"/>
      <c r="P457" s="212">
        <f t="shared" ref="P457:Q466" si="660">L457+W457</f>
        <v>0</v>
      </c>
      <c r="Q457" s="212">
        <f t="shared" si="660"/>
        <v>0</v>
      </c>
      <c r="R457" s="525"/>
      <c r="S457" s="525"/>
      <c r="T457" s="525"/>
      <c r="U457" s="525"/>
      <c r="V457" s="242"/>
      <c r="W457" s="242"/>
      <c r="X457" s="242"/>
      <c r="Y457" s="242"/>
      <c r="Z457" s="242"/>
      <c r="AA457" s="242">
        <f t="shared" ref="AA457:AF457" si="661">SUM(AA458:AA467)</f>
        <v>152068</v>
      </c>
      <c r="AB457" s="242">
        <f t="shared" si="661"/>
        <v>152068</v>
      </c>
      <c r="AC457" s="242">
        <f t="shared" si="661"/>
        <v>0</v>
      </c>
      <c r="AD457" s="242">
        <f t="shared" si="661"/>
        <v>0</v>
      </c>
      <c r="AE457" s="242">
        <f t="shared" si="661"/>
        <v>0</v>
      </c>
      <c r="AF457" s="242">
        <f t="shared" si="661"/>
        <v>0</v>
      </c>
      <c r="AG457" s="242" t="e">
        <f>AG461+AG462+AG463+AG465+#REF!</f>
        <v>#REF!</v>
      </c>
      <c r="AH457" s="242" t="e">
        <f>AH461+AH462+AH463+AH465+#REF!</f>
        <v>#REF!</v>
      </c>
      <c r="AI457" s="242" t="e">
        <f>AI461+AI462+AI463+AI465+#REF!</f>
        <v>#REF!</v>
      </c>
      <c r="AJ457" s="242" t="e">
        <f>AJ461+AJ462+AJ463+AJ465+#REF!</f>
        <v>#REF!</v>
      </c>
      <c r="AK457" s="242" t="e">
        <f>AK461+AK462+AK463+AK465+#REF!</f>
        <v>#REF!</v>
      </c>
      <c r="AL457" s="242" t="e">
        <f>AL461+AL462+AL463+AL465+#REF!</f>
        <v>#REF!</v>
      </c>
      <c r="AM457" s="242" t="e">
        <f>AM461+AM462+AM463+AM465+#REF!</f>
        <v>#REF!</v>
      </c>
      <c r="AN457" s="242" t="e">
        <f>AN461+AN462+AN463+AN465+#REF!</f>
        <v>#REF!</v>
      </c>
      <c r="AO457" s="242" t="e">
        <f>AO461+AO462+AO463+AO465+#REF!</f>
        <v>#REF!</v>
      </c>
      <c r="AP457" s="242" t="e">
        <f>AP461+AP462+AP463+AP465+#REF!</f>
        <v>#REF!</v>
      </c>
      <c r="AQ457" s="242" t="e">
        <f>AQ461+AQ462+AQ463+AQ465+#REF!</f>
        <v>#REF!</v>
      </c>
      <c r="AR457" s="242" t="e">
        <f>AR461+AR462+AR463+AR465+#REF!</f>
        <v>#REF!</v>
      </c>
      <c r="AS457" s="242"/>
      <c r="AT457" s="242"/>
      <c r="AU457" s="242"/>
      <c r="AV457" s="242">
        <f>AV461+AV462+AV463+AV464+AV465</f>
        <v>14605</v>
      </c>
      <c r="AW457" s="242">
        <f>AW461+AW462+AW463+AW464+AW465</f>
        <v>14605</v>
      </c>
      <c r="AX457" s="242"/>
      <c r="AY457" s="242"/>
      <c r="AZ457" s="514"/>
    </row>
    <row r="458" spans="1:53" s="232" customFormat="1" ht="14.1" hidden="1" customHeight="1">
      <c r="A458" s="326">
        <v>1</v>
      </c>
      <c r="B458" s="308" t="s">
        <v>613</v>
      </c>
      <c r="C458" s="337"/>
      <c r="D458" s="337"/>
      <c r="E458" s="337"/>
      <c r="F458" s="337"/>
      <c r="G458" s="337"/>
      <c r="H458" s="337"/>
      <c r="I458" s="231"/>
      <c r="J458" s="242"/>
      <c r="K458" s="242"/>
      <c r="L458" s="242"/>
      <c r="M458" s="242"/>
      <c r="N458" s="242"/>
      <c r="O458" s="242"/>
      <c r="P458" s="212">
        <f t="shared" si="660"/>
        <v>0</v>
      </c>
      <c r="Q458" s="212">
        <f t="shared" si="660"/>
        <v>0</v>
      </c>
      <c r="R458" s="215"/>
      <c r="S458" s="215"/>
      <c r="T458" s="215"/>
      <c r="U458" s="215"/>
      <c r="V458" s="215"/>
      <c r="W458" s="212"/>
      <c r="X458" s="212"/>
      <c r="Y458" s="242"/>
      <c r="Z458" s="242"/>
      <c r="AA458" s="212">
        <v>94491</v>
      </c>
      <c r="AB458" s="212">
        <v>94491</v>
      </c>
      <c r="AC458" s="242"/>
      <c r="AD458" s="242"/>
      <c r="AE458" s="242"/>
      <c r="AF458" s="242"/>
      <c r="AG458" s="215">
        <f t="shared" si="639"/>
        <v>94491</v>
      </c>
      <c r="AH458" s="215">
        <f t="shared" si="640"/>
        <v>94491</v>
      </c>
      <c r="AI458" s="215"/>
      <c r="AJ458" s="215"/>
      <c r="AK458" s="215">
        <f t="shared" ref="AK458:AK466" si="662">AO458</f>
        <v>0</v>
      </c>
      <c r="AL458" s="215">
        <f t="shared" ref="AL458:AL466" si="663">AP458</f>
        <v>0</v>
      </c>
      <c r="AM458" s="215">
        <f t="shared" ref="AM458:AM466" si="664">AQ458</f>
        <v>0</v>
      </c>
      <c r="AN458" s="215">
        <f t="shared" ref="AN458:AN466" si="665">AR458</f>
        <v>0</v>
      </c>
      <c r="AO458" s="273">
        <f>AP458</f>
        <v>0</v>
      </c>
      <c r="AP458" s="273"/>
      <c r="AQ458" s="273"/>
      <c r="AR458" s="242"/>
      <c r="AS458" s="242"/>
      <c r="AT458" s="242"/>
      <c r="AU458" s="242"/>
      <c r="AV458" s="242"/>
      <c r="AW458" s="242"/>
      <c r="AX458" s="242"/>
      <c r="AY458" s="242"/>
      <c r="AZ458" s="357"/>
    </row>
    <row r="459" spans="1:53" s="232" customFormat="1" ht="14.1" hidden="1" customHeight="1">
      <c r="A459" s="326">
        <v>2</v>
      </c>
      <c r="B459" s="308" t="s">
        <v>614</v>
      </c>
      <c r="C459" s="337"/>
      <c r="D459" s="337"/>
      <c r="E459" s="337"/>
      <c r="F459" s="337"/>
      <c r="G459" s="337"/>
      <c r="H459" s="337"/>
      <c r="I459" s="231"/>
      <c r="J459" s="242"/>
      <c r="K459" s="242"/>
      <c r="L459" s="242"/>
      <c r="M459" s="242"/>
      <c r="N459" s="242"/>
      <c r="O459" s="242"/>
      <c r="P459" s="212">
        <f t="shared" si="660"/>
        <v>0</v>
      </c>
      <c r="Q459" s="212">
        <f t="shared" si="660"/>
        <v>0</v>
      </c>
      <c r="R459" s="215"/>
      <c r="S459" s="215"/>
      <c r="T459" s="215"/>
      <c r="U459" s="215"/>
      <c r="V459" s="215"/>
      <c r="W459" s="212"/>
      <c r="X459" s="212"/>
      <c r="Y459" s="242"/>
      <c r="Z459" s="242"/>
      <c r="AA459" s="212">
        <v>3760</v>
      </c>
      <c r="AB459" s="212">
        <v>3760</v>
      </c>
      <c r="AC459" s="242"/>
      <c r="AD459" s="242"/>
      <c r="AE459" s="242"/>
      <c r="AF459" s="242"/>
      <c r="AG459" s="215">
        <f t="shared" si="639"/>
        <v>3760</v>
      </c>
      <c r="AH459" s="215">
        <f>X459+AB459</f>
        <v>3760</v>
      </c>
      <c r="AI459" s="215"/>
      <c r="AJ459" s="215"/>
      <c r="AK459" s="215">
        <f t="shared" si="662"/>
        <v>0</v>
      </c>
      <c r="AL459" s="215">
        <f t="shared" si="663"/>
        <v>0</v>
      </c>
      <c r="AM459" s="215">
        <f t="shared" si="664"/>
        <v>0</v>
      </c>
      <c r="AN459" s="215">
        <f t="shared" si="665"/>
        <v>0</v>
      </c>
      <c r="AO459" s="273">
        <f>AP459</f>
        <v>0</v>
      </c>
      <c r="AP459" s="242"/>
      <c r="AQ459" s="273"/>
      <c r="AR459" s="242"/>
      <c r="AS459" s="242"/>
      <c r="AT459" s="242"/>
      <c r="AU459" s="242"/>
      <c r="AV459" s="242"/>
      <c r="AW459" s="242"/>
      <c r="AX459" s="242"/>
      <c r="AY459" s="242"/>
      <c r="AZ459" s="357"/>
    </row>
    <row r="460" spans="1:53" s="232" customFormat="1" ht="14.1" hidden="1" customHeight="1">
      <c r="A460" s="326">
        <v>3</v>
      </c>
      <c r="B460" s="308" t="s">
        <v>615</v>
      </c>
      <c r="C460" s="337"/>
      <c r="D460" s="337"/>
      <c r="E460" s="337"/>
      <c r="F460" s="337"/>
      <c r="G460" s="337"/>
      <c r="H460" s="337"/>
      <c r="I460" s="231"/>
      <c r="J460" s="242"/>
      <c r="K460" s="242"/>
      <c r="L460" s="242"/>
      <c r="M460" s="242"/>
      <c r="N460" s="242"/>
      <c r="O460" s="242"/>
      <c r="P460" s="212">
        <f t="shared" si="660"/>
        <v>0</v>
      </c>
      <c r="Q460" s="212">
        <f t="shared" si="660"/>
        <v>0</v>
      </c>
      <c r="R460" s="215"/>
      <c r="S460" s="215"/>
      <c r="T460" s="215"/>
      <c r="U460" s="215"/>
      <c r="V460" s="215"/>
      <c r="W460" s="212"/>
      <c r="X460" s="212"/>
      <c r="Y460" s="242"/>
      <c r="Z460" s="242"/>
      <c r="AA460" s="273">
        <v>2789</v>
      </c>
      <c r="AB460" s="273">
        <v>2789</v>
      </c>
      <c r="AC460" s="242"/>
      <c r="AD460" s="242"/>
      <c r="AE460" s="242"/>
      <c r="AF460" s="242"/>
      <c r="AG460" s="215">
        <f t="shared" si="639"/>
        <v>2789</v>
      </c>
      <c r="AH460" s="215">
        <f t="shared" si="640"/>
        <v>2789</v>
      </c>
      <c r="AI460" s="215"/>
      <c r="AJ460" s="215"/>
      <c r="AK460" s="215">
        <f t="shared" si="662"/>
        <v>0</v>
      </c>
      <c r="AL460" s="215">
        <f t="shared" si="663"/>
        <v>0</v>
      </c>
      <c r="AM460" s="215">
        <f t="shared" si="664"/>
        <v>0</v>
      </c>
      <c r="AN460" s="215">
        <f t="shared" si="665"/>
        <v>0</v>
      </c>
      <c r="AO460" s="273">
        <f t="shared" ref="AO460:AO465" si="666">AP460</f>
        <v>0</v>
      </c>
      <c r="AP460" s="242"/>
      <c r="AQ460" s="273"/>
      <c r="AR460" s="242"/>
      <c r="AS460" s="242"/>
      <c r="AT460" s="242"/>
      <c r="AU460" s="242"/>
      <c r="AV460" s="242"/>
      <c r="AW460" s="242"/>
      <c r="AX460" s="242"/>
      <c r="AY460" s="242"/>
      <c r="AZ460" s="303"/>
    </row>
    <row r="461" spans="1:53" s="232" customFormat="1" ht="36.950000000000003" customHeight="1">
      <c r="A461" s="326">
        <v>1</v>
      </c>
      <c r="B461" s="308" t="s">
        <v>616</v>
      </c>
      <c r="C461" s="337"/>
      <c r="D461" s="337"/>
      <c r="E461" s="337"/>
      <c r="F461" s="337"/>
      <c r="G461" s="337"/>
      <c r="H461" s="337"/>
      <c r="I461" s="231"/>
      <c r="J461" s="242"/>
      <c r="K461" s="242"/>
      <c r="L461" s="242"/>
      <c r="M461" s="242"/>
      <c r="N461" s="242"/>
      <c r="O461" s="242"/>
      <c r="P461" s="212">
        <f t="shared" si="660"/>
        <v>0</v>
      </c>
      <c r="Q461" s="212">
        <f t="shared" si="660"/>
        <v>0</v>
      </c>
      <c r="R461" s="215"/>
      <c r="S461" s="215"/>
      <c r="T461" s="215"/>
      <c r="U461" s="215"/>
      <c r="V461" s="215"/>
      <c r="W461" s="242"/>
      <c r="X461" s="242"/>
      <c r="Y461" s="242"/>
      <c r="Z461" s="242"/>
      <c r="AA461" s="273">
        <v>492</v>
      </c>
      <c r="AB461" s="273">
        <v>492</v>
      </c>
      <c r="AC461" s="242"/>
      <c r="AD461" s="242"/>
      <c r="AE461" s="242"/>
      <c r="AF461" s="242"/>
      <c r="AG461" s="212">
        <f t="shared" si="639"/>
        <v>492</v>
      </c>
      <c r="AH461" s="212">
        <f t="shared" si="640"/>
        <v>492</v>
      </c>
      <c r="AI461" s="215"/>
      <c r="AJ461" s="215"/>
      <c r="AK461" s="215">
        <f t="shared" si="662"/>
        <v>455</v>
      </c>
      <c r="AL461" s="215">
        <f t="shared" si="663"/>
        <v>455</v>
      </c>
      <c r="AM461" s="215">
        <f t="shared" si="664"/>
        <v>0</v>
      </c>
      <c r="AN461" s="215">
        <f t="shared" si="665"/>
        <v>0</v>
      </c>
      <c r="AO461" s="273">
        <f t="shared" si="666"/>
        <v>455</v>
      </c>
      <c r="AP461" s="273">
        <v>455</v>
      </c>
      <c r="AQ461" s="273"/>
      <c r="AR461" s="242"/>
      <c r="AS461" s="242"/>
      <c r="AT461" s="242"/>
      <c r="AU461" s="242"/>
      <c r="AV461" s="542">
        <f>AW461</f>
        <v>417</v>
      </c>
      <c r="AW461" s="542">
        <v>417</v>
      </c>
      <c r="AX461" s="242"/>
      <c r="AY461" s="242"/>
      <c r="AZ461" s="303"/>
    </row>
    <row r="462" spans="1:53" s="232" customFormat="1" ht="41.1" customHeight="1">
      <c r="A462" s="326">
        <v>2</v>
      </c>
      <c r="B462" s="308" t="s">
        <v>846</v>
      </c>
      <c r="C462" s="337"/>
      <c r="D462" s="337"/>
      <c r="E462" s="337"/>
      <c r="F462" s="337"/>
      <c r="G462" s="337"/>
      <c r="H462" s="337"/>
      <c r="I462" s="231"/>
      <c r="J462" s="242"/>
      <c r="K462" s="242"/>
      <c r="L462" s="242"/>
      <c r="M462" s="242"/>
      <c r="N462" s="242"/>
      <c r="O462" s="242"/>
      <c r="P462" s="212">
        <f t="shared" si="660"/>
        <v>0</v>
      </c>
      <c r="Q462" s="212">
        <f t="shared" si="660"/>
        <v>0</v>
      </c>
      <c r="R462" s="215"/>
      <c r="S462" s="215"/>
      <c r="T462" s="215"/>
      <c r="U462" s="215"/>
      <c r="V462" s="215"/>
      <c r="W462" s="242"/>
      <c r="X462" s="242"/>
      <c r="Y462" s="242"/>
      <c r="Z462" s="242"/>
      <c r="AA462" s="273">
        <v>483</v>
      </c>
      <c r="AB462" s="273">
        <v>483</v>
      </c>
      <c r="AC462" s="242"/>
      <c r="AD462" s="242"/>
      <c r="AE462" s="242"/>
      <c r="AF462" s="242"/>
      <c r="AG462" s="212">
        <f t="shared" si="639"/>
        <v>483</v>
      </c>
      <c r="AH462" s="212">
        <f t="shared" si="640"/>
        <v>483</v>
      </c>
      <c r="AI462" s="215"/>
      <c r="AJ462" s="215"/>
      <c r="AK462" s="215">
        <f t="shared" si="662"/>
        <v>916</v>
      </c>
      <c r="AL462" s="215">
        <f t="shared" si="663"/>
        <v>916</v>
      </c>
      <c r="AM462" s="215">
        <f t="shared" si="664"/>
        <v>0</v>
      </c>
      <c r="AN462" s="215">
        <f t="shared" si="665"/>
        <v>0</v>
      </c>
      <c r="AO462" s="273">
        <f t="shared" si="666"/>
        <v>916</v>
      </c>
      <c r="AP462" s="273">
        <v>916</v>
      </c>
      <c r="AQ462" s="273"/>
      <c r="AR462" s="242"/>
      <c r="AS462" s="242"/>
      <c r="AT462" s="242"/>
      <c r="AU462" s="242"/>
      <c r="AV462" s="542">
        <f>AW462</f>
        <v>647</v>
      </c>
      <c r="AW462" s="542">
        <v>647</v>
      </c>
      <c r="AX462" s="242"/>
      <c r="AY462" s="242"/>
      <c r="AZ462" s="303"/>
    </row>
    <row r="463" spans="1:53" s="232" customFormat="1" ht="47.1" customHeight="1">
      <c r="A463" s="326">
        <v>3</v>
      </c>
      <c r="B463" s="358" t="s">
        <v>847</v>
      </c>
      <c r="C463" s="337"/>
      <c r="D463" s="337"/>
      <c r="E463" s="337"/>
      <c r="F463" s="337"/>
      <c r="G463" s="337"/>
      <c r="H463" s="337"/>
      <c r="I463" s="231"/>
      <c r="J463" s="242"/>
      <c r="K463" s="242"/>
      <c r="L463" s="242"/>
      <c r="M463" s="242"/>
      <c r="N463" s="242"/>
      <c r="O463" s="242"/>
      <c r="P463" s="212">
        <f t="shared" si="660"/>
        <v>0</v>
      </c>
      <c r="Q463" s="212">
        <f t="shared" si="660"/>
        <v>0</v>
      </c>
      <c r="R463" s="215"/>
      <c r="S463" s="215"/>
      <c r="T463" s="215"/>
      <c r="U463" s="215"/>
      <c r="V463" s="215"/>
      <c r="W463" s="242"/>
      <c r="X463" s="242"/>
      <c r="Y463" s="242"/>
      <c r="Z463" s="242"/>
      <c r="AA463" s="273">
        <v>53</v>
      </c>
      <c r="AB463" s="273">
        <v>53</v>
      </c>
      <c r="AC463" s="242"/>
      <c r="AD463" s="242"/>
      <c r="AE463" s="242"/>
      <c r="AF463" s="242"/>
      <c r="AG463" s="212">
        <f t="shared" si="639"/>
        <v>53</v>
      </c>
      <c r="AH463" s="212">
        <f t="shared" si="640"/>
        <v>53</v>
      </c>
      <c r="AI463" s="215"/>
      <c r="AJ463" s="215"/>
      <c r="AK463" s="215">
        <f t="shared" si="662"/>
        <v>172</v>
      </c>
      <c r="AL463" s="215">
        <f t="shared" si="663"/>
        <v>172</v>
      </c>
      <c r="AM463" s="215">
        <f t="shared" si="664"/>
        <v>0</v>
      </c>
      <c r="AN463" s="215">
        <f t="shared" si="665"/>
        <v>0</v>
      </c>
      <c r="AO463" s="273">
        <f t="shared" si="666"/>
        <v>172</v>
      </c>
      <c r="AP463" s="273">
        <v>172</v>
      </c>
      <c r="AQ463" s="273"/>
      <c r="AR463" s="242"/>
      <c r="AS463" s="242"/>
      <c r="AT463" s="242"/>
      <c r="AU463" s="242"/>
      <c r="AV463" s="542">
        <f>AW463</f>
        <v>197</v>
      </c>
      <c r="AW463" s="542">
        <v>197</v>
      </c>
      <c r="AX463" s="242"/>
      <c r="AY463" s="242"/>
      <c r="AZ463" s="303"/>
    </row>
    <row r="464" spans="1:53" s="232" customFormat="1" ht="44.25" customHeight="1">
      <c r="A464" s="326">
        <v>4</v>
      </c>
      <c r="B464" s="358" t="s">
        <v>978</v>
      </c>
      <c r="C464" s="337"/>
      <c r="D464" s="337"/>
      <c r="E464" s="337"/>
      <c r="F464" s="337"/>
      <c r="G464" s="337"/>
      <c r="H464" s="337"/>
      <c r="I464" s="231"/>
      <c r="J464" s="242"/>
      <c r="K464" s="242"/>
      <c r="L464" s="242"/>
      <c r="M464" s="242"/>
      <c r="N464" s="242"/>
      <c r="O464" s="242"/>
      <c r="P464" s="212"/>
      <c r="Q464" s="212"/>
      <c r="R464" s="215"/>
      <c r="S464" s="215"/>
      <c r="T464" s="215"/>
      <c r="U464" s="215"/>
      <c r="V464" s="215"/>
      <c r="W464" s="242"/>
      <c r="X464" s="242"/>
      <c r="Y464" s="242"/>
      <c r="Z464" s="242"/>
      <c r="AA464" s="273"/>
      <c r="AB464" s="273"/>
      <c r="AC464" s="242"/>
      <c r="AD464" s="242"/>
      <c r="AE464" s="242"/>
      <c r="AF464" s="242"/>
      <c r="AG464" s="212"/>
      <c r="AH464" s="212"/>
      <c r="AI464" s="215"/>
      <c r="AJ464" s="215"/>
      <c r="AK464" s="215"/>
      <c r="AL464" s="215"/>
      <c r="AM464" s="215"/>
      <c r="AN464" s="215"/>
      <c r="AO464" s="273"/>
      <c r="AP464" s="273"/>
      <c r="AQ464" s="273"/>
      <c r="AR464" s="242"/>
      <c r="AS464" s="242"/>
      <c r="AT464" s="242"/>
      <c r="AU464" s="242"/>
      <c r="AV464" s="542">
        <f>AW464</f>
        <v>44</v>
      </c>
      <c r="AW464" s="542">
        <v>44</v>
      </c>
      <c r="AX464" s="242"/>
      <c r="AY464" s="242"/>
      <c r="AZ464" s="303"/>
    </row>
    <row r="465" spans="1:52" s="232" customFormat="1" ht="47.1" customHeight="1">
      <c r="A465" s="326">
        <v>5</v>
      </c>
      <c r="B465" s="358" t="s">
        <v>851</v>
      </c>
      <c r="C465" s="337"/>
      <c r="D465" s="337"/>
      <c r="E465" s="337"/>
      <c r="F465" s="337"/>
      <c r="G465" s="337"/>
      <c r="H465" s="337"/>
      <c r="I465" s="231"/>
      <c r="J465" s="242"/>
      <c r="K465" s="242"/>
      <c r="L465" s="242"/>
      <c r="M465" s="242"/>
      <c r="N465" s="242"/>
      <c r="O465" s="242"/>
      <c r="P465" s="212"/>
      <c r="Q465" s="212"/>
      <c r="R465" s="215"/>
      <c r="S465" s="215"/>
      <c r="T465" s="215"/>
      <c r="U465" s="215"/>
      <c r="V465" s="215"/>
      <c r="W465" s="242"/>
      <c r="X465" s="242"/>
      <c r="Y465" s="242"/>
      <c r="Z465" s="242"/>
      <c r="AA465" s="273"/>
      <c r="AB465" s="273"/>
      <c r="AC465" s="242"/>
      <c r="AD465" s="242"/>
      <c r="AE465" s="242"/>
      <c r="AF465" s="242"/>
      <c r="AG465" s="215"/>
      <c r="AH465" s="215"/>
      <c r="AI465" s="215"/>
      <c r="AJ465" s="215"/>
      <c r="AK465" s="215"/>
      <c r="AL465" s="215"/>
      <c r="AM465" s="215"/>
      <c r="AN465" s="215"/>
      <c r="AO465" s="273">
        <f t="shared" si="666"/>
        <v>22400</v>
      </c>
      <c r="AP465" s="273">
        <v>22400</v>
      </c>
      <c r="AQ465" s="273"/>
      <c r="AR465" s="242"/>
      <c r="AS465" s="242"/>
      <c r="AT465" s="242"/>
      <c r="AU465" s="242"/>
      <c r="AV465" s="542">
        <f>AW465</f>
        <v>13300</v>
      </c>
      <c r="AW465" s="542">
        <v>13300</v>
      </c>
      <c r="AX465" s="242"/>
      <c r="AY465" s="242"/>
      <c r="AZ465" s="303"/>
    </row>
    <row r="466" spans="1:52" s="232" customFormat="1" ht="86.25" hidden="1" customHeight="1">
      <c r="A466" s="326">
        <v>7</v>
      </c>
      <c r="B466" s="307" t="s">
        <v>619</v>
      </c>
      <c r="C466" s="337"/>
      <c r="D466" s="337"/>
      <c r="E466" s="337"/>
      <c r="F466" s="337"/>
      <c r="G466" s="337"/>
      <c r="H466" s="337"/>
      <c r="I466" s="231"/>
      <c r="J466" s="242"/>
      <c r="K466" s="242"/>
      <c r="L466" s="242"/>
      <c r="M466" s="242"/>
      <c r="N466" s="242"/>
      <c r="O466" s="242"/>
      <c r="P466" s="212">
        <f t="shared" si="660"/>
        <v>0</v>
      </c>
      <c r="Q466" s="212">
        <f t="shared" si="660"/>
        <v>0</v>
      </c>
      <c r="R466" s="215"/>
      <c r="S466" s="215"/>
      <c r="T466" s="215"/>
      <c r="U466" s="215"/>
      <c r="V466" s="215"/>
      <c r="W466" s="242"/>
      <c r="X466" s="242"/>
      <c r="Y466" s="242"/>
      <c r="Z466" s="242"/>
      <c r="AA466" s="212">
        <v>50000</v>
      </c>
      <c r="AB466" s="212">
        <v>50000</v>
      </c>
      <c r="AC466" s="242"/>
      <c r="AD466" s="242"/>
      <c r="AE466" s="242"/>
      <c r="AF466" s="242"/>
      <c r="AG466" s="215">
        <f t="shared" si="639"/>
        <v>50000</v>
      </c>
      <c r="AH466" s="215">
        <f t="shared" si="640"/>
        <v>50000</v>
      </c>
      <c r="AI466" s="215"/>
      <c r="AJ466" s="215"/>
      <c r="AK466" s="215">
        <f t="shared" si="662"/>
        <v>0</v>
      </c>
      <c r="AL466" s="215">
        <f t="shared" si="663"/>
        <v>0</v>
      </c>
      <c r="AM466" s="215">
        <f t="shared" si="664"/>
        <v>0</v>
      </c>
      <c r="AN466" s="215">
        <f t="shared" si="665"/>
        <v>0</v>
      </c>
      <c r="AO466" s="242"/>
      <c r="AP466" s="242"/>
      <c r="AQ466" s="273"/>
      <c r="AR466" s="242"/>
      <c r="AS466" s="242"/>
      <c r="AT466" s="242"/>
      <c r="AU466" s="242"/>
      <c r="AV466" s="242"/>
      <c r="AW466" s="242"/>
      <c r="AX466" s="242"/>
      <c r="AY466" s="242"/>
      <c r="AZ466" s="261" t="s">
        <v>625</v>
      </c>
    </row>
    <row r="467" spans="1:52" s="232" customFormat="1" ht="69.599999999999994" hidden="1" customHeight="1">
      <c r="A467" s="326">
        <v>8</v>
      </c>
      <c r="B467" s="307" t="s">
        <v>799</v>
      </c>
      <c r="C467" s="337"/>
      <c r="D467" s="337"/>
      <c r="E467" s="337"/>
      <c r="F467" s="337"/>
      <c r="G467" s="337"/>
      <c r="H467" s="303" t="s">
        <v>346</v>
      </c>
      <c r="I467" s="254" t="s">
        <v>798</v>
      </c>
      <c r="J467" s="489">
        <v>279797.8</v>
      </c>
      <c r="K467" s="489">
        <v>121838</v>
      </c>
      <c r="L467" s="242"/>
      <c r="M467" s="242"/>
      <c r="N467" s="242"/>
      <c r="O467" s="242"/>
      <c r="P467" s="212"/>
      <c r="Q467" s="212"/>
      <c r="R467" s="215"/>
      <c r="S467" s="215"/>
      <c r="T467" s="215"/>
      <c r="U467" s="215"/>
      <c r="V467" s="215"/>
      <c r="W467" s="242"/>
      <c r="X467" s="242"/>
      <c r="Y467" s="242"/>
      <c r="Z467" s="242"/>
      <c r="AA467" s="212"/>
      <c r="AB467" s="212"/>
      <c r="AC467" s="242"/>
      <c r="AD467" s="242"/>
      <c r="AE467" s="242"/>
      <c r="AF467" s="242"/>
      <c r="AG467" s="215"/>
      <c r="AH467" s="215"/>
      <c r="AI467" s="215"/>
      <c r="AJ467" s="215"/>
      <c r="AK467" s="215"/>
      <c r="AL467" s="215"/>
      <c r="AM467" s="215"/>
      <c r="AN467" s="215"/>
      <c r="AO467" s="273">
        <f>AP467</f>
        <v>0</v>
      </c>
      <c r="AP467" s="273"/>
      <c r="AQ467" s="273"/>
      <c r="AR467" s="242"/>
      <c r="AS467" s="242"/>
      <c r="AT467" s="242"/>
      <c r="AU467" s="242"/>
      <c r="AV467" s="242"/>
      <c r="AW467" s="242"/>
      <c r="AX467" s="242"/>
      <c r="AY467" s="242"/>
      <c r="AZ467" s="261" t="s">
        <v>625</v>
      </c>
    </row>
    <row r="468" spans="1:52" ht="50.25" customHeight="1">
      <c r="A468" s="201"/>
      <c r="B468" s="683" t="s">
        <v>626</v>
      </c>
      <c r="C468" s="683"/>
      <c r="D468" s="683"/>
      <c r="E468" s="683"/>
      <c r="F468" s="683"/>
      <c r="G468" s="683"/>
      <c r="H468" s="683"/>
      <c r="I468" s="683"/>
      <c r="J468" s="683"/>
      <c r="K468" s="683"/>
      <c r="L468" s="683"/>
      <c r="M468" s="683"/>
      <c r="N468" s="683"/>
      <c r="O468" s="683"/>
      <c r="P468" s="683"/>
      <c r="Q468" s="683"/>
      <c r="R468" s="683"/>
      <c r="S468" s="683"/>
      <c r="T468" s="683"/>
      <c r="U468" s="683"/>
      <c r="V468" s="683"/>
      <c r="W468" s="683"/>
      <c r="X468" s="683"/>
      <c r="Y468" s="683"/>
      <c r="Z468" s="683"/>
      <c r="AA468" s="683"/>
      <c r="AB468" s="683"/>
      <c r="AC468" s="683"/>
      <c r="AD468" s="683"/>
      <c r="AE468" s="683"/>
      <c r="AF468" s="683"/>
      <c r="AG468" s="683"/>
      <c r="AH468" s="683"/>
      <c r="AI468" s="683"/>
      <c r="AJ468" s="683"/>
      <c r="AK468" s="683"/>
      <c r="AL468" s="683"/>
      <c r="AM468" s="683"/>
      <c r="AN468" s="683"/>
      <c r="AO468" s="683"/>
      <c r="AP468" s="683"/>
      <c r="AQ468" s="683"/>
      <c r="AR468" s="683"/>
      <c r="AS468" s="683"/>
      <c r="AT468" s="683"/>
      <c r="AU468" s="683"/>
      <c r="AV468" s="683"/>
      <c r="AW468" s="683"/>
      <c r="AX468" s="683"/>
      <c r="AY468" s="683"/>
      <c r="AZ468" s="683"/>
    </row>
    <row r="469" spans="1:52">
      <c r="A469" s="201"/>
      <c r="B469" s="201"/>
      <c r="C469" s="201"/>
      <c r="D469" s="201"/>
      <c r="E469" s="201"/>
      <c r="F469" s="201"/>
      <c r="G469" s="201"/>
      <c r="H469" s="201"/>
      <c r="J469" s="201"/>
      <c r="K469" s="201"/>
    </row>
    <row r="470" spans="1:52">
      <c r="A470" s="201"/>
      <c r="B470" s="201"/>
      <c r="C470" s="201"/>
      <c r="D470" s="201"/>
      <c r="E470" s="201"/>
      <c r="F470" s="201"/>
      <c r="G470" s="201"/>
      <c r="H470" s="201"/>
      <c r="J470" s="201"/>
      <c r="K470" s="201"/>
      <c r="W470" s="539" t="s">
        <v>311</v>
      </c>
    </row>
    <row r="471" spans="1:52">
      <c r="A471" s="201"/>
      <c r="B471" s="201"/>
      <c r="C471" s="201"/>
      <c r="D471" s="201"/>
      <c r="E471" s="201"/>
      <c r="F471" s="201"/>
      <c r="G471" s="201"/>
      <c r="H471" s="201"/>
      <c r="J471" s="201"/>
      <c r="K471" s="201"/>
      <c r="L471" s="201"/>
      <c r="M471" s="201"/>
      <c r="N471" s="201"/>
      <c r="O471" s="201"/>
      <c r="P471" s="262"/>
      <c r="Q471" s="262"/>
    </row>
    <row r="472" spans="1:52">
      <c r="A472" s="201"/>
      <c r="B472" s="201"/>
      <c r="C472" s="201"/>
      <c r="D472" s="201"/>
      <c r="E472" s="201"/>
      <c r="F472" s="201"/>
      <c r="G472" s="201"/>
      <c r="H472" s="201"/>
      <c r="J472" s="201"/>
      <c r="K472" s="201"/>
      <c r="L472" s="201"/>
      <c r="M472" s="201"/>
      <c r="N472" s="201"/>
      <c r="O472" s="201"/>
      <c r="P472" s="262"/>
      <c r="Q472" s="262"/>
    </row>
    <row r="473" spans="1:52">
      <c r="A473" s="201"/>
      <c r="B473" s="201"/>
      <c r="C473" s="201"/>
      <c r="D473" s="201"/>
      <c r="E473" s="201"/>
      <c r="F473" s="201"/>
      <c r="G473" s="201"/>
      <c r="H473" s="201"/>
      <c r="J473" s="201"/>
      <c r="K473" s="201"/>
      <c r="L473" s="201"/>
      <c r="M473" s="201"/>
      <c r="N473" s="201"/>
      <c r="O473" s="201"/>
      <c r="P473" s="262"/>
      <c r="Q473" s="262"/>
    </row>
    <row r="474" spans="1:52">
      <c r="A474" s="201"/>
      <c r="B474" s="201"/>
      <c r="C474" s="201"/>
      <c r="D474" s="201"/>
      <c r="E474" s="201"/>
      <c r="F474" s="201"/>
      <c r="G474" s="201"/>
      <c r="H474" s="201"/>
      <c r="J474" s="201"/>
      <c r="K474" s="201"/>
      <c r="L474" s="201"/>
      <c r="M474" s="201"/>
      <c r="N474" s="201"/>
      <c r="O474" s="201"/>
      <c r="P474" s="262"/>
      <c r="Q474" s="262"/>
    </row>
    <row r="475" spans="1:52">
      <c r="A475" s="201"/>
      <c r="B475" s="201"/>
      <c r="C475" s="201"/>
      <c r="D475" s="201"/>
      <c r="E475" s="201"/>
      <c r="F475" s="201"/>
      <c r="G475" s="201"/>
      <c r="H475" s="201"/>
      <c r="J475" s="201"/>
      <c r="K475" s="201"/>
      <c r="L475" s="201"/>
      <c r="M475" s="201"/>
      <c r="N475" s="201"/>
      <c r="O475" s="201"/>
      <c r="P475" s="262"/>
      <c r="Q475" s="262"/>
    </row>
    <row r="476" spans="1:52">
      <c r="A476" s="201"/>
      <c r="B476" s="201"/>
      <c r="C476" s="201"/>
      <c r="D476" s="201"/>
      <c r="E476" s="201"/>
      <c r="F476" s="201"/>
      <c r="G476" s="201"/>
      <c r="H476" s="201"/>
      <c r="J476" s="201"/>
      <c r="K476" s="201"/>
      <c r="L476" s="201"/>
      <c r="M476" s="201"/>
      <c r="N476" s="201"/>
      <c r="O476" s="201"/>
      <c r="P476" s="262"/>
      <c r="Q476" s="262"/>
    </row>
    <row r="477" spans="1:52">
      <c r="A477" s="201"/>
      <c r="B477" s="201"/>
      <c r="C477" s="201"/>
      <c r="D477" s="201"/>
      <c r="E477" s="201"/>
      <c r="F477" s="201"/>
      <c r="G477" s="201"/>
      <c r="H477" s="201"/>
      <c r="J477" s="201"/>
      <c r="K477" s="201"/>
      <c r="L477" s="201"/>
      <c r="M477" s="201"/>
      <c r="N477" s="201"/>
      <c r="O477" s="201"/>
      <c r="P477" s="262"/>
      <c r="Q477" s="262"/>
    </row>
    <row r="478" spans="1:52">
      <c r="A478" s="201"/>
      <c r="B478" s="201"/>
      <c r="C478" s="201"/>
      <c r="D478" s="201"/>
      <c r="E478" s="201"/>
      <c r="F478" s="201"/>
      <c r="G478" s="201"/>
      <c r="H478" s="201"/>
      <c r="J478" s="201"/>
      <c r="K478" s="201"/>
      <c r="L478" s="201"/>
      <c r="M478" s="201"/>
      <c r="N478" s="201"/>
      <c r="O478" s="201"/>
      <c r="P478" s="262"/>
      <c r="Q478" s="262"/>
    </row>
    <row r="479" spans="1:52">
      <c r="A479" s="201"/>
      <c r="B479" s="201"/>
      <c r="C479" s="201"/>
      <c r="D479" s="201"/>
      <c r="E479" s="201"/>
      <c r="F479" s="201"/>
      <c r="G479" s="201"/>
      <c r="H479" s="201"/>
      <c r="J479" s="201"/>
      <c r="K479" s="201"/>
      <c r="L479" s="201"/>
      <c r="M479" s="201"/>
      <c r="N479" s="201"/>
      <c r="O479" s="201"/>
      <c r="P479" s="262"/>
      <c r="Q479" s="262"/>
    </row>
    <row r="480" spans="1:52">
      <c r="A480" s="201"/>
      <c r="B480" s="201"/>
      <c r="C480" s="201"/>
      <c r="D480" s="201"/>
      <c r="E480" s="201"/>
      <c r="F480" s="201"/>
      <c r="G480" s="201"/>
      <c r="H480" s="201"/>
      <c r="J480" s="201"/>
      <c r="K480" s="201"/>
      <c r="L480" s="201"/>
      <c r="M480" s="201"/>
      <c r="N480" s="201"/>
      <c r="O480" s="201"/>
      <c r="P480" s="262"/>
      <c r="Q480" s="262"/>
    </row>
    <row r="481" spans="1:17">
      <c r="A481" s="201"/>
      <c r="B481" s="201"/>
      <c r="C481" s="201"/>
      <c r="D481" s="201"/>
      <c r="E481" s="201"/>
      <c r="F481" s="201"/>
      <c r="G481" s="201"/>
      <c r="H481" s="201"/>
      <c r="J481" s="201"/>
      <c r="K481" s="201"/>
      <c r="L481" s="201"/>
      <c r="M481" s="201"/>
      <c r="N481" s="201"/>
      <c r="O481" s="201"/>
      <c r="P481" s="262"/>
      <c r="Q481" s="262"/>
    </row>
    <row r="482" spans="1:17">
      <c r="A482" s="201"/>
      <c r="B482" s="201"/>
      <c r="C482" s="201"/>
      <c r="D482" s="201"/>
      <c r="E482" s="201"/>
      <c r="F482" s="201"/>
      <c r="G482" s="201"/>
      <c r="H482" s="201"/>
      <c r="J482" s="201"/>
      <c r="K482" s="201"/>
      <c r="L482" s="201"/>
      <c r="M482" s="201"/>
      <c r="N482" s="201"/>
      <c r="O482" s="201"/>
      <c r="P482" s="262"/>
      <c r="Q482" s="262"/>
    </row>
    <row r="483" spans="1:17">
      <c r="A483" s="201"/>
      <c r="B483" s="201"/>
      <c r="C483" s="201"/>
      <c r="D483" s="201"/>
      <c r="E483" s="201"/>
      <c r="F483" s="201"/>
      <c r="G483" s="201"/>
      <c r="H483" s="201"/>
      <c r="J483" s="201"/>
      <c r="K483" s="201"/>
      <c r="L483" s="201"/>
      <c r="M483" s="201"/>
      <c r="N483" s="201"/>
      <c r="O483" s="201"/>
      <c r="P483" s="262"/>
      <c r="Q483" s="262"/>
    </row>
    <row r="484" spans="1:17">
      <c r="A484" s="201"/>
      <c r="B484" s="201"/>
      <c r="C484" s="201"/>
      <c r="D484" s="201"/>
      <c r="E484" s="201"/>
      <c r="F484" s="201"/>
      <c r="G484" s="201"/>
      <c r="H484" s="201"/>
      <c r="J484" s="201"/>
      <c r="K484" s="201"/>
      <c r="L484" s="201"/>
      <c r="M484" s="201"/>
      <c r="N484" s="201"/>
      <c r="O484" s="201"/>
      <c r="P484" s="262"/>
      <c r="Q484" s="262"/>
    </row>
    <row r="485" spans="1:17">
      <c r="A485" s="201"/>
      <c r="B485" s="201"/>
      <c r="C485" s="201"/>
      <c r="D485" s="201"/>
      <c r="E485" s="201"/>
      <c r="F485" s="201"/>
      <c r="G485" s="201"/>
      <c r="H485" s="201"/>
      <c r="J485" s="201"/>
      <c r="K485" s="201"/>
      <c r="L485" s="201"/>
      <c r="M485" s="201"/>
      <c r="N485" s="201"/>
      <c r="O485" s="201"/>
      <c r="P485" s="262"/>
      <c r="Q485" s="262"/>
    </row>
    <row r="486" spans="1:17">
      <c r="A486" s="201"/>
      <c r="B486" s="201"/>
      <c r="C486" s="201"/>
      <c r="D486" s="201"/>
      <c r="E486" s="201"/>
      <c r="F486" s="201"/>
      <c r="G486" s="201"/>
      <c r="H486" s="201"/>
      <c r="J486" s="201"/>
      <c r="K486" s="201"/>
      <c r="L486" s="201"/>
      <c r="M486" s="201"/>
      <c r="N486" s="201"/>
      <c r="O486" s="201"/>
      <c r="P486" s="262"/>
      <c r="Q486" s="262"/>
    </row>
    <row r="487" spans="1:17">
      <c r="A487" s="201"/>
      <c r="B487" s="201"/>
      <c r="C487" s="201"/>
      <c r="D487" s="201"/>
      <c r="E487" s="201"/>
      <c r="F487" s="201"/>
      <c r="G487" s="201"/>
      <c r="H487" s="201"/>
      <c r="J487" s="201"/>
      <c r="K487" s="201"/>
      <c r="L487" s="201"/>
      <c r="M487" s="201"/>
      <c r="N487" s="201"/>
      <c r="O487" s="201"/>
      <c r="P487" s="262"/>
      <c r="Q487" s="262"/>
    </row>
    <row r="488" spans="1:17">
      <c r="A488" s="201"/>
      <c r="B488" s="201"/>
      <c r="C488" s="201"/>
      <c r="D488" s="201"/>
      <c r="E488" s="201"/>
      <c r="F488" s="201"/>
      <c r="G488" s="201"/>
      <c r="H488" s="201"/>
      <c r="J488" s="201"/>
      <c r="K488" s="201"/>
      <c r="L488" s="201"/>
      <c r="M488" s="201"/>
      <c r="N488" s="201"/>
      <c r="O488" s="201"/>
      <c r="P488" s="262"/>
      <c r="Q488" s="262"/>
    </row>
    <row r="489" spans="1:17">
      <c r="A489" s="201"/>
      <c r="B489" s="201"/>
      <c r="C489" s="201"/>
      <c r="D489" s="201"/>
      <c r="E489" s="201"/>
      <c r="F489" s="201"/>
      <c r="G489" s="201"/>
      <c r="H489" s="201"/>
      <c r="J489" s="201"/>
      <c r="K489" s="201"/>
      <c r="L489" s="201"/>
      <c r="M489" s="201"/>
      <c r="N489" s="201"/>
      <c r="O489" s="201"/>
      <c r="P489" s="262"/>
      <c r="Q489" s="262"/>
    </row>
    <row r="490" spans="1:17">
      <c r="A490" s="201"/>
      <c r="B490" s="201"/>
      <c r="C490" s="201"/>
      <c r="D490" s="201"/>
      <c r="E490" s="201"/>
      <c r="F490" s="201"/>
      <c r="G490" s="201"/>
      <c r="H490" s="201"/>
      <c r="J490" s="201"/>
      <c r="K490" s="201"/>
      <c r="L490" s="201"/>
      <c r="M490" s="201"/>
      <c r="N490" s="201"/>
      <c r="O490" s="201"/>
      <c r="P490" s="262"/>
      <c r="Q490" s="262"/>
    </row>
    <row r="491" spans="1:17">
      <c r="A491" s="201"/>
      <c r="B491" s="201"/>
      <c r="C491" s="201"/>
      <c r="D491" s="201"/>
      <c r="E491" s="201"/>
      <c r="F491" s="201"/>
      <c r="G491" s="201"/>
      <c r="H491" s="201"/>
      <c r="J491" s="201"/>
      <c r="K491" s="201"/>
      <c r="L491" s="201"/>
      <c r="M491" s="201"/>
      <c r="N491" s="201"/>
      <c r="O491" s="201"/>
      <c r="P491" s="262"/>
      <c r="Q491" s="262"/>
    </row>
    <row r="492" spans="1:17">
      <c r="A492" s="201"/>
      <c r="B492" s="201"/>
      <c r="C492" s="201"/>
      <c r="D492" s="201"/>
      <c r="E492" s="201"/>
      <c r="F492" s="201"/>
      <c r="G492" s="201"/>
      <c r="H492" s="201"/>
      <c r="J492" s="201"/>
      <c r="K492" s="201"/>
      <c r="L492" s="201"/>
      <c r="M492" s="201"/>
      <c r="N492" s="201"/>
      <c r="O492" s="201"/>
      <c r="P492" s="262"/>
      <c r="Q492" s="262"/>
    </row>
    <row r="493" spans="1:17">
      <c r="A493" s="201"/>
      <c r="B493" s="201"/>
      <c r="C493" s="201"/>
      <c r="D493" s="201"/>
      <c r="E493" s="201"/>
      <c r="F493" s="201"/>
      <c r="G493" s="201"/>
      <c r="H493" s="201"/>
      <c r="J493" s="201"/>
      <c r="K493" s="201"/>
      <c r="L493" s="201"/>
      <c r="M493" s="201"/>
      <c r="N493" s="201"/>
      <c r="O493" s="201"/>
      <c r="P493" s="262"/>
      <c r="Q493" s="262"/>
    </row>
    <row r="494" spans="1:17">
      <c r="A494" s="201"/>
      <c r="B494" s="201"/>
      <c r="C494" s="201"/>
      <c r="D494" s="201"/>
      <c r="E494" s="201"/>
      <c r="F494" s="201"/>
      <c r="G494" s="201"/>
      <c r="H494" s="201"/>
      <c r="J494" s="201"/>
      <c r="K494" s="201"/>
      <c r="L494" s="201"/>
      <c r="M494" s="201"/>
      <c r="N494" s="201"/>
      <c r="O494" s="201"/>
      <c r="P494" s="262"/>
      <c r="Q494" s="262"/>
    </row>
    <row r="495" spans="1:17">
      <c r="A495" s="201"/>
      <c r="B495" s="201"/>
      <c r="C495" s="201"/>
      <c r="D495" s="201"/>
      <c r="E495" s="201"/>
      <c r="F495" s="201"/>
      <c r="G495" s="201"/>
      <c r="H495" s="201"/>
      <c r="J495" s="201"/>
      <c r="K495" s="201"/>
      <c r="L495" s="201"/>
      <c r="M495" s="201"/>
      <c r="N495" s="201"/>
      <c r="O495" s="201"/>
      <c r="P495" s="262"/>
      <c r="Q495" s="262"/>
    </row>
    <row r="496" spans="1:17">
      <c r="A496" s="201"/>
      <c r="B496" s="201"/>
      <c r="C496" s="201"/>
      <c r="D496" s="201"/>
      <c r="E496" s="201"/>
      <c r="F496" s="201"/>
      <c r="G496" s="201"/>
      <c r="H496" s="201"/>
      <c r="J496" s="201"/>
      <c r="K496" s="201"/>
      <c r="L496" s="201"/>
      <c r="M496" s="201"/>
      <c r="N496" s="201"/>
      <c r="O496" s="201"/>
      <c r="P496" s="262"/>
      <c r="Q496" s="262"/>
    </row>
    <row r="497" spans="1:17">
      <c r="A497" s="201"/>
      <c r="B497" s="201"/>
      <c r="C497" s="201"/>
      <c r="D497" s="201"/>
      <c r="E497" s="201"/>
      <c r="F497" s="201"/>
      <c r="G497" s="201"/>
      <c r="H497" s="201"/>
      <c r="J497" s="201"/>
      <c r="K497" s="201"/>
      <c r="L497" s="201"/>
      <c r="M497" s="201"/>
      <c r="N497" s="201"/>
      <c r="O497" s="201"/>
      <c r="P497" s="262"/>
      <c r="Q497" s="262"/>
    </row>
    <row r="498" spans="1:17">
      <c r="A498" s="201"/>
      <c r="B498" s="201"/>
      <c r="C498" s="201"/>
      <c r="D498" s="201"/>
      <c r="E498" s="201"/>
      <c r="F498" s="201"/>
      <c r="G498" s="201"/>
      <c r="H498" s="201"/>
      <c r="J498" s="201"/>
      <c r="K498" s="201"/>
      <c r="L498" s="201"/>
      <c r="M498" s="201"/>
      <c r="N498" s="201"/>
      <c r="O498" s="201"/>
      <c r="P498" s="262"/>
      <c r="Q498" s="262"/>
    </row>
    <row r="499" spans="1:17">
      <c r="A499" s="201"/>
      <c r="B499" s="201"/>
      <c r="C499" s="201"/>
      <c r="D499" s="201"/>
      <c r="E499" s="201"/>
      <c r="F499" s="201"/>
      <c r="G499" s="201"/>
      <c r="H499" s="201"/>
      <c r="J499" s="201"/>
      <c r="K499" s="201"/>
      <c r="L499" s="201"/>
      <c r="M499" s="201"/>
      <c r="N499" s="201"/>
      <c r="O499" s="201"/>
      <c r="P499" s="262"/>
      <c r="Q499" s="262"/>
    </row>
    <row r="500" spans="1:17">
      <c r="A500" s="201"/>
      <c r="B500" s="201"/>
      <c r="C500" s="201"/>
      <c r="D500" s="201"/>
      <c r="E500" s="201"/>
      <c r="F500" s="201"/>
      <c r="G500" s="201"/>
      <c r="H500" s="201"/>
      <c r="J500" s="201"/>
      <c r="K500" s="201"/>
      <c r="L500" s="201"/>
      <c r="M500" s="201"/>
      <c r="N500" s="201"/>
      <c r="O500" s="201"/>
      <c r="P500" s="262"/>
      <c r="Q500" s="262"/>
    </row>
    <row r="501" spans="1:17">
      <c r="A501" s="201"/>
      <c r="B501" s="201"/>
      <c r="C501" s="201"/>
      <c r="D501" s="201"/>
      <c r="E501" s="201"/>
      <c r="F501" s="201"/>
      <c r="G501" s="201"/>
      <c r="H501" s="201"/>
      <c r="J501" s="201"/>
      <c r="K501" s="201"/>
      <c r="L501" s="201"/>
      <c r="M501" s="201"/>
      <c r="N501" s="201"/>
      <c r="O501" s="201"/>
      <c r="P501" s="262"/>
      <c r="Q501" s="262"/>
    </row>
    <row r="502" spans="1:17">
      <c r="A502" s="201"/>
      <c r="B502" s="201"/>
      <c r="C502" s="201"/>
      <c r="D502" s="201"/>
      <c r="E502" s="201"/>
      <c r="F502" s="201"/>
      <c r="G502" s="201"/>
      <c r="H502" s="201"/>
      <c r="J502" s="201"/>
      <c r="K502" s="201"/>
      <c r="L502" s="201"/>
      <c r="M502" s="201"/>
      <c r="N502" s="201"/>
      <c r="O502" s="201"/>
      <c r="P502" s="262"/>
      <c r="Q502" s="262"/>
    </row>
    <row r="503" spans="1:17">
      <c r="A503" s="201"/>
      <c r="B503" s="201"/>
      <c r="C503" s="201"/>
      <c r="D503" s="201"/>
      <c r="E503" s="201"/>
      <c r="F503" s="201"/>
      <c r="G503" s="201"/>
      <c r="H503" s="201"/>
      <c r="J503" s="201"/>
      <c r="K503" s="201"/>
      <c r="L503" s="201"/>
      <c r="M503" s="201"/>
      <c r="N503" s="201"/>
      <c r="O503" s="201"/>
      <c r="P503" s="262"/>
      <c r="Q503" s="262"/>
    </row>
    <row r="504" spans="1:17">
      <c r="A504" s="201"/>
      <c r="B504" s="201"/>
      <c r="C504" s="201"/>
      <c r="D504" s="201"/>
      <c r="E504" s="201"/>
      <c r="F504" s="201"/>
      <c r="G504" s="201"/>
      <c r="H504" s="201"/>
      <c r="J504" s="201"/>
      <c r="K504" s="201"/>
      <c r="L504" s="201"/>
      <c r="M504" s="201"/>
      <c r="N504" s="201"/>
      <c r="O504" s="201"/>
      <c r="P504" s="262"/>
      <c r="Q504" s="262"/>
    </row>
    <row r="505" spans="1:17">
      <c r="A505" s="201"/>
      <c r="B505" s="201"/>
      <c r="C505" s="201"/>
      <c r="D505" s="201"/>
      <c r="E505" s="201"/>
      <c r="F505" s="201"/>
      <c r="G505" s="201"/>
      <c r="H505" s="201"/>
      <c r="J505" s="201"/>
      <c r="K505" s="201"/>
      <c r="L505" s="201"/>
      <c r="M505" s="201"/>
      <c r="N505" s="201"/>
      <c r="O505" s="201"/>
      <c r="P505" s="262"/>
      <c r="Q505" s="262"/>
    </row>
    <row r="506" spans="1:17">
      <c r="A506" s="201"/>
      <c r="B506" s="201"/>
      <c r="C506" s="201"/>
      <c r="D506" s="201"/>
      <c r="E506" s="201"/>
      <c r="F506" s="201"/>
      <c r="G506" s="201"/>
      <c r="H506" s="201"/>
      <c r="J506" s="201"/>
      <c r="K506" s="201"/>
      <c r="L506" s="201"/>
      <c r="M506" s="201"/>
      <c r="N506" s="201"/>
      <c r="O506" s="201"/>
      <c r="P506" s="262"/>
      <c r="Q506" s="262"/>
    </row>
    <row r="507" spans="1:17">
      <c r="A507" s="201"/>
      <c r="B507" s="201"/>
      <c r="C507" s="201"/>
      <c r="D507" s="201"/>
      <c r="E507" s="201"/>
      <c r="F507" s="201"/>
      <c r="G507" s="201"/>
      <c r="H507" s="201"/>
      <c r="J507" s="201"/>
      <c r="K507" s="201"/>
      <c r="L507" s="201"/>
      <c r="M507" s="201"/>
      <c r="N507" s="201"/>
      <c r="O507" s="201"/>
      <c r="P507" s="262"/>
      <c r="Q507" s="262"/>
    </row>
    <row r="508" spans="1:17">
      <c r="A508" s="201"/>
      <c r="B508" s="201"/>
      <c r="C508" s="201"/>
      <c r="D508" s="201"/>
      <c r="E508" s="201"/>
      <c r="F508" s="201"/>
      <c r="G508" s="201"/>
      <c r="H508" s="201"/>
      <c r="J508" s="201"/>
      <c r="K508" s="201"/>
      <c r="L508" s="201"/>
      <c r="M508" s="201"/>
      <c r="N508" s="201"/>
      <c r="O508" s="201"/>
      <c r="P508" s="262"/>
      <c r="Q508" s="262"/>
    </row>
    <row r="509" spans="1:17">
      <c r="A509" s="201"/>
      <c r="B509" s="201"/>
      <c r="C509" s="201"/>
      <c r="D509" s="201"/>
      <c r="E509" s="201"/>
      <c r="F509" s="201"/>
      <c r="G509" s="201"/>
      <c r="H509" s="201"/>
      <c r="J509" s="201"/>
      <c r="K509" s="201"/>
      <c r="L509" s="201"/>
      <c r="M509" s="201"/>
      <c r="N509" s="201"/>
      <c r="O509" s="201"/>
      <c r="P509" s="262"/>
      <c r="Q509" s="262"/>
    </row>
    <row r="510" spans="1:17">
      <c r="A510" s="201"/>
      <c r="B510" s="201"/>
      <c r="C510" s="201"/>
      <c r="D510" s="201"/>
      <c r="E510" s="201"/>
      <c r="F510" s="201"/>
      <c r="G510" s="201"/>
      <c r="H510" s="201"/>
      <c r="J510" s="201"/>
      <c r="K510" s="201"/>
      <c r="L510" s="201"/>
      <c r="M510" s="201"/>
      <c r="N510" s="201"/>
      <c r="O510" s="201"/>
      <c r="P510" s="262"/>
      <c r="Q510" s="262"/>
    </row>
    <row r="511" spans="1:17">
      <c r="A511" s="201"/>
      <c r="B511" s="201"/>
      <c r="C511" s="201"/>
      <c r="D511" s="201"/>
      <c r="E511" s="201"/>
      <c r="F511" s="201"/>
      <c r="G511" s="201"/>
      <c r="H511" s="201"/>
      <c r="J511" s="201"/>
      <c r="K511" s="201"/>
      <c r="L511" s="201"/>
      <c r="M511" s="201"/>
      <c r="N511" s="201"/>
      <c r="O511" s="201"/>
      <c r="P511" s="262"/>
      <c r="Q511" s="262"/>
    </row>
    <row r="512" spans="1:17">
      <c r="A512" s="201"/>
      <c r="B512" s="201"/>
      <c r="C512" s="201"/>
      <c r="D512" s="201"/>
      <c r="E512" s="201"/>
      <c r="F512" s="201"/>
      <c r="G512" s="201"/>
      <c r="H512" s="201"/>
      <c r="J512" s="201"/>
      <c r="K512" s="201"/>
      <c r="L512" s="201"/>
      <c r="M512" s="201"/>
      <c r="N512" s="201"/>
      <c r="O512" s="201"/>
      <c r="P512" s="262"/>
      <c r="Q512" s="262"/>
    </row>
    <row r="513" spans="1:17">
      <c r="A513" s="201"/>
      <c r="B513" s="201"/>
      <c r="C513" s="201"/>
      <c r="D513" s="201"/>
      <c r="E513" s="201"/>
      <c r="F513" s="201"/>
      <c r="G513" s="201"/>
      <c r="H513" s="201"/>
      <c r="J513" s="201"/>
      <c r="K513" s="201"/>
      <c r="L513" s="201"/>
      <c r="M513" s="201"/>
      <c r="N513" s="201"/>
      <c r="O513" s="201"/>
      <c r="P513" s="262"/>
      <c r="Q513" s="262"/>
    </row>
    <row r="514" spans="1:17">
      <c r="A514" s="201"/>
      <c r="B514" s="201"/>
      <c r="C514" s="201"/>
      <c r="D514" s="201"/>
      <c r="E514" s="201"/>
      <c r="F514" s="201"/>
      <c r="G514" s="201"/>
      <c r="H514" s="201"/>
      <c r="J514" s="201"/>
      <c r="K514" s="201"/>
      <c r="L514" s="201"/>
      <c r="M514" s="201"/>
      <c r="N514" s="201"/>
      <c r="O514" s="201"/>
      <c r="P514" s="262"/>
      <c r="Q514" s="262"/>
    </row>
    <row r="515" spans="1:17">
      <c r="A515" s="201"/>
      <c r="B515" s="201"/>
      <c r="C515" s="201"/>
      <c r="D515" s="201"/>
      <c r="E515" s="201"/>
      <c r="F515" s="201"/>
      <c r="G515" s="201"/>
      <c r="H515" s="201"/>
      <c r="J515" s="201"/>
      <c r="K515" s="201"/>
      <c r="L515" s="201"/>
      <c r="M515" s="201"/>
      <c r="N515" s="201"/>
      <c r="O515" s="201"/>
      <c r="P515" s="262"/>
      <c r="Q515" s="262"/>
    </row>
    <row r="516" spans="1:17">
      <c r="A516" s="201"/>
      <c r="B516" s="201"/>
      <c r="C516" s="201"/>
      <c r="D516" s="201"/>
      <c r="E516" s="201"/>
      <c r="F516" s="201"/>
      <c r="G516" s="201"/>
      <c r="H516" s="201"/>
      <c r="J516" s="201"/>
      <c r="K516" s="201"/>
      <c r="L516" s="201"/>
      <c r="M516" s="201"/>
      <c r="N516" s="201"/>
      <c r="O516" s="201"/>
      <c r="P516" s="262"/>
      <c r="Q516" s="262"/>
    </row>
    <row r="517" spans="1:17">
      <c r="A517" s="201"/>
      <c r="B517" s="201"/>
      <c r="C517" s="201"/>
      <c r="D517" s="201"/>
      <c r="E517" s="201"/>
      <c r="F517" s="201"/>
      <c r="G517" s="201"/>
      <c r="H517" s="201"/>
      <c r="J517" s="201"/>
      <c r="K517" s="201"/>
      <c r="L517" s="201"/>
      <c r="M517" s="201"/>
      <c r="N517" s="201"/>
      <c r="O517" s="201"/>
      <c r="P517" s="262"/>
      <c r="Q517" s="262"/>
    </row>
    <row r="518" spans="1:17">
      <c r="A518" s="201"/>
      <c r="B518" s="201"/>
      <c r="C518" s="201"/>
      <c r="D518" s="201"/>
      <c r="E518" s="201"/>
      <c r="F518" s="201"/>
      <c r="G518" s="201"/>
      <c r="H518" s="201"/>
      <c r="J518" s="201"/>
      <c r="K518" s="201"/>
      <c r="L518" s="201"/>
      <c r="M518" s="201"/>
      <c r="N518" s="201"/>
      <c r="O518" s="201"/>
      <c r="P518" s="262"/>
      <c r="Q518" s="262"/>
    </row>
    <row r="519" spans="1:17">
      <c r="A519" s="201"/>
      <c r="B519" s="201"/>
      <c r="C519" s="201"/>
      <c r="D519" s="201"/>
      <c r="E519" s="201"/>
      <c r="F519" s="201"/>
      <c r="G519" s="201"/>
      <c r="H519" s="201"/>
      <c r="J519" s="201"/>
      <c r="K519" s="201"/>
      <c r="L519" s="201"/>
      <c r="M519" s="201"/>
      <c r="N519" s="201"/>
      <c r="O519" s="201"/>
      <c r="P519" s="262"/>
      <c r="Q519" s="262"/>
    </row>
    <row r="520" spans="1:17">
      <c r="A520" s="201"/>
      <c r="B520" s="201"/>
      <c r="C520" s="201"/>
      <c r="D520" s="201"/>
      <c r="E520" s="201"/>
      <c r="F520" s="201"/>
      <c r="G520" s="201"/>
      <c r="H520" s="201"/>
      <c r="J520" s="201"/>
      <c r="K520" s="201"/>
      <c r="L520" s="201"/>
      <c r="M520" s="201"/>
      <c r="N520" s="201"/>
      <c r="O520" s="201"/>
      <c r="P520" s="262"/>
      <c r="Q520" s="262"/>
    </row>
    <row r="521" spans="1:17">
      <c r="A521" s="201"/>
      <c r="B521" s="201"/>
      <c r="C521" s="201"/>
      <c r="D521" s="201"/>
      <c r="E521" s="201"/>
      <c r="F521" s="201"/>
      <c r="G521" s="201"/>
      <c r="H521" s="201"/>
      <c r="J521" s="201"/>
      <c r="K521" s="201"/>
      <c r="L521" s="201"/>
      <c r="M521" s="201"/>
      <c r="N521" s="201"/>
      <c r="O521" s="201"/>
      <c r="P521" s="262"/>
      <c r="Q521" s="262"/>
    </row>
    <row r="522" spans="1:17">
      <c r="A522" s="201"/>
      <c r="B522" s="201"/>
      <c r="C522" s="201"/>
      <c r="D522" s="201"/>
      <c r="E522" s="201"/>
      <c r="F522" s="201"/>
      <c r="G522" s="201"/>
      <c r="H522" s="201"/>
      <c r="J522" s="201"/>
      <c r="K522" s="201"/>
      <c r="L522" s="201"/>
      <c r="M522" s="201"/>
      <c r="N522" s="201"/>
      <c r="O522" s="201"/>
      <c r="P522" s="262"/>
      <c r="Q522" s="262"/>
    </row>
    <row r="523" spans="1:17">
      <c r="A523" s="201"/>
      <c r="B523" s="201"/>
      <c r="C523" s="201"/>
      <c r="D523" s="201"/>
      <c r="E523" s="201"/>
      <c r="F523" s="201"/>
      <c r="G523" s="201"/>
      <c r="H523" s="201"/>
      <c r="J523" s="201"/>
      <c r="K523" s="201"/>
      <c r="L523" s="201"/>
      <c r="M523" s="201"/>
      <c r="N523" s="201"/>
      <c r="O523" s="201"/>
      <c r="P523" s="262"/>
      <c r="Q523" s="262"/>
    </row>
    <row r="524" spans="1:17">
      <c r="A524" s="201"/>
      <c r="B524" s="201"/>
      <c r="C524" s="201"/>
      <c r="D524" s="201"/>
      <c r="E524" s="201"/>
      <c r="F524" s="201"/>
      <c r="G524" s="201"/>
      <c r="H524" s="201"/>
      <c r="J524" s="201"/>
      <c r="K524" s="201"/>
      <c r="L524" s="201"/>
      <c r="M524" s="201"/>
      <c r="N524" s="201"/>
      <c r="O524" s="201"/>
      <c r="P524" s="262"/>
      <c r="Q524" s="262"/>
    </row>
    <row r="525" spans="1:17">
      <c r="A525" s="201"/>
      <c r="B525" s="201"/>
      <c r="C525" s="201"/>
      <c r="D525" s="201"/>
      <c r="E525" s="201"/>
      <c r="F525" s="201"/>
      <c r="G525" s="201"/>
      <c r="H525" s="201"/>
      <c r="J525" s="201"/>
      <c r="K525" s="201"/>
      <c r="L525" s="201"/>
      <c r="M525" s="201"/>
      <c r="N525" s="201"/>
      <c r="O525" s="201"/>
      <c r="P525" s="262"/>
      <c r="Q525" s="262"/>
    </row>
    <row r="526" spans="1:17">
      <c r="A526" s="201"/>
      <c r="B526" s="201"/>
      <c r="C526" s="201"/>
      <c r="D526" s="201"/>
      <c r="E526" s="201"/>
      <c r="F526" s="201"/>
      <c r="G526" s="201"/>
      <c r="H526" s="201"/>
      <c r="J526" s="201"/>
      <c r="K526" s="201"/>
      <c r="L526" s="201"/>
      <c r="M526" s="201"/>
      <c r="N526" s="201"/>
      <c r="O526" s="201"/>
      <c r="P526" s="262"/>
      <c r="Q526" s="262"/>
    </row>
    <row r="527" spans="1:17">
      <c r="A527" s="201"/>
      <c r="B527" s="201"/>
      <c r="C527" s="201"/>
      <c r="D527" s="201"/>
      <c r="E527" s="201"/>
      <c r="F527" s="201"/>
      <c r="G527" s="201"/>
      <c r="H527" s="201"/>
      <c r="J527" s="201"/>
      <c r="K527" s="201"/>
      <c r="L527" s="201"/>
      <c r="M527" s="201"/>
      <c r="N527" s="201"/>
      <c r="O527" s="201"/>
      <c r="P527" s="262"/>
      <c r="Q527" s="262"/>
    </row>
    <row r="528" spans="1:17">
      <c r="A528" s="201"/>
      <c r="B528" s="201"/>
      <c r="C528" s="201"/>
      <c r="D528" s="201"/>
      <c r="E528" s="201"/>
      <c r="F528" s="201"/>
      <c r="G528" s="201"/>
      <c r="H528" s="201"/>
      <c r="J528" s="201"/>
      <c r="K528" s="201"/>
      <c r="L528" s="201"/>
      <c r="M528" s="201"/>
      <c r="N528" s="201"/>
      <c r="O528" s="201"/>
      <c r="P528" s="262"/>
      <c r="Q528" s="262"/>
    </row>
    <row r="529" spans="1:17">
      <c r="A529" s="201"/>
      <c r="B529" s="201"/>
      <c r="C529" s="201"/>
      <c r="D529" s="201"/>
      <c r="E529" s="201"/>
      <c r="F529" s="201"/>
      <c r="G529" s="201"/>
      <c r="H529" s="201"/>
      <c r="J529" s="201"/>
      <c r="K529" s="201"/>
      <c r="L529" s="201"/>
      <c r="M529" s="201"/>
      <c r="N529" s="201"/>
      <c r="O529" s="201"/>
      <c r="P529" s="262"/>
      <c r="Q529" s="262"/>
    </row>
    <row r="530" spans="1:17">
      <c r="A530" s="201"/>
      <c r="B530" s="201"/>
      <c r="C530" s="201"/>
      <c r="D530" s="201"/>
      <c r="E530" s="201"/>
      <c r="F530" s="201"/>
      <c r="G530" s="201"/>
      <c r="H530" s="201"/>
      <c r="J530" s="201"/>
      <c r="K530" s="201"/>
      <c r="L530" s="201"/>
      <c r="M530" s="201"/>
      <c r="N530" s="201"/>
      <c r="O530" s="201"/>
      <c r="P530" s="262"/>
      <c r="Q530" s="262"/>
    </row>
    <row r="531" spans="1:17">
      <c r="A531" s="201"/>
      <c r="B531" s="201"/>
      <c r="C531" s="201"/>
      <c r="D531" s="201"/>
      <c r="E531" s="201"/>
      <c r="F531" s="201"/>
      <c r="G531" s="201"/>
      <c r="H531" s="201"/>
      <c r="J531" s="201"/>
      <c r="K531" s="201"/>
      <c r="L531" s="201"/>
      <c r="M531" s="201"/>
      <c r="N531" s="201"/>
      <c r="O531" s="201"/>
      <c r="P531" s="262"/>
      <c r="Q531" s="262"/>
    </row>
    <row r="532" spans="1:17">
      <c r="A532" s="201"/>
      <c r="B532" s="201"/>
      <c r="C532" s="201"/>
      <c r="D532" s="201"/>
      <c r="E532" s="201"/>
      <c r="F532" s="201"/>
      <c r="G532" s="201"/>
      <c r="H532" s="201"/>
      <c r="J532" s="201"/>
      <c r="K532" s="201"/>
      <c r="L532" s="201"/>
      <c r="M532" s="201"/>
      <c r="N532" s="201"/>
      <c r="O532" s="201"/>
      <c r="P532" s="262"/>
      <c r="Q532" s="262"/>
    </row>
    <row r="533" spans="1:17">
      <c r="A533" s="201"/>
      <c r="B533" s="201"/>
      <c r="C533" s="201"/>
      <c r="D533" s="201"/>
      <c r="E533" s="201"/>
      <c r="F533" s="201"/>
      <c r="G533" s="201"/>
      <c r="H533" s="201"/>
      <c r="J533" s="201"/>
      <c r="K533" s="201"/>
      <c r="L533" s="201"/>
      <c r="M533" s="201"/>
      <c r="N533" s="201"/>
      <c r="O533" s="201"/>
      <c r="P533" s="262"/>
      <c r="Q533" s="262"/>
    </row>
    <row r="534" spans="1:17">
      <c r="A534" s="201"/>
      <c r="B534" s="201"/>
      <c r="C534" s="201"/>
      <c r="D534" s="201"/>
      <c r="E534" s="201"/>
      <c r="F534" s="201"/>
      <c r="G534" s="201"/>
      <c r="H534" s="201"/>
      <c r="J534" s="201"/>
      <c r="K534" s="201"/>
      <c r="L534" s="201"/>
      <c r="M534" s="201"/>
      <c r="N534" s="201"/>
      <c r="O534" s="201"/>
      <c r="P534" s="262"/>
      <c r="Q534" s="262"/>
    </row>
    <row r="535" spans="1:17">
      <c r="A535" s="201"/>
      <c r="B535" s="201"/>
      <c r="C535" s="201"/>
      <c r="D535" s="201"/>
      <c r="E535" s="201"/>
      <c r="F535" s="201"/>
      <c r="G535" s="201"/>
      <c r="H535" s="201"/>
      <c r="J535" s="201"/>
      <c r="K535" s="201"/>
      <c r="L535" s="201"/>
      <c r="M535" s="201"/>
      <c r="N535" s="201"/>
      <c r="O535" s="201"/>
      <c r="P535" s="262"/>
      <c r="Q535" s="262"/>
    </row>
    <row r="536" spans="1:17">
      <c r="A536" s="201"/>
      <c r="B536" s="201"/>
      <c r="C536" s="201"/>
      <c r="D536" s="201"/>
      <c r="E536" s="201"/>
      <c r="F536" s="201"/>
      <c r="G536" s="201"/>
      <c r="H536" s="201"/>
      <c r="J536" s="201"/>
      <c r="K536" s="201"/>
      <c r="L536" s="201"/>
      <c r="M536" s="201"/>
      <c r="N536" s="201"/>
      <c r="O536" s="201"/>
      <c r="P536" s="262"/>
      <c r="Q536" s="262"/>
    </row>
    <row r="537" spans="1:17">
      <c r="A537" s="201"/>
      <c r="B537" s="201"/>
      <c r="C537" s="201"/>
      <c r="D537" s="201"/>
      <c r="E537" s="201"/>
      <c r="F537" s="201"/>
      <c r="G537" s="201"/>
      <c r="H537" s="201"/>
      <c r="J537" s="201"/>
      <c r="K537" s="201"/>
      <c r="L537" s="201"/>
      <c r="M537" s="201"/>
      <c r="N537" s="201"/>
      <c r="O537" s="201"/>
      <c r="P537" s="262"/>
      <c r="Q537" s="262"/>
    </row>
    <row r="538" spans="1:17">
      <c r="A538" s="201"/>
      <c r="B538" s="201"/>
      <c r="C538" s="201"/>
      <c r="D538" s="201"/>
      <c r="E538" s="201"/>
      <c r="F538" s="201"/>
      <c r="G538" s="201"/>
      <c r="H538" s="201"/>
      <c r="J538" s="201"/>
      <c r="K538" s="201"/>
      <c r="L538" s="201"/>
      <c r="M538" s="201"/>
      <c r="N538" s="201"/>
      <c r="O538" s="201"/>
      <c r="P538" s="262"/>
      <c r="Q538" s="262"/>
    </row>
    <row r="539" spans="1:17">
      <c r="A539" s="201"/>
      <c r="B539" s="201"/>
      <c r="C539" s="201"/>
      <c r="D539" s="201"/>
      <c r="E539" s="201"/>
      <c r="F539" s="201"/>
      <c r="G539" s="201"/>
      <c r="H539" s="201"/>
      <c r="J539" s="201"/>
      <c r="K539" s="201"/>
      <c r="L539" s="201"/>
      <c r="M539" s="201"/>
      <c r="N539" s="201"/>
      <c r="O539" s="201"/>
      <c r="P539" s="262"/>
      <c r="Q539" s="262"/>
    </row>
    <row r="540" spans="1:17">
      <c r="A540" s="201"/>
      <c r="B540" s="201"/>
      <c r="C540" s="201"/>
      <c r="D540" s="201"/>
      <c r="E540" s="201"/>
      <c r="F540" s="201"/>
      <c r="G540" s="201"/>
      <c r="H540" s="201"/>
      <c r="J540" s="201"/>
      <c r="K540" s="201"/>
      <c r="L540" s="201"/>
      <c r="M540" s="201"/>
      <c r="N540" s="201"/>
      <c r="O540" s="201"/>
      <c r="P540" s="262"/>
      <c r="Q540" s="262"/>
    </row>
    <row r="541" spans="1:17">
      <c r="A541" s="201"/>
      <c r="B541" s="201"/>
      <c r="C541" s="201"/>
      <c r="D541" s="201"/>
      <c r="E541" s="201"/>
      <c r="F541" s="201"/>
      <c r="G541" s="201"/>
      <c r="H541" s="201"/>
      <c r="J541" s="201"/>
      <c r="K541" s="201"/>
      <c r="L541" s="201"/>
      <c r="M541" s="201"/>
      <c r="N541" s="201"/>
      <c r="O541" s="201"/>
      <c r="P541" s="262"/>
      <c r="Q541" s="262"/>
    </row>
    <row r="542" spans="1:17">
      <c r="A542" s="201"/>
      <c r="B542" s="201"/>
      <c r="C542" s="201"/>
      <c r="D542" s="201"/>
      <c r="E542" s="201"/>
      <c r="F542" s="201"/>
      <c r="G542" s="201"/>
      <c r="H542" s="201"/>
      <c r="J542" s="201"/>
      <c r="K542" s="201"/>
      <c r="L542" s="201"/>
      <c r="M542" s="201"/>
      <c r="N542" s="201"/>
      <c r="O542" s="201"/>
      <c r="P542" s="262"/>
      <c r="Q542" s="262"/>
    </row>
    <row r="543" spans="1:17">
      <c r="A543" s="201"/>
      <c r="B543" s="201"/>
      <c r="C543" s="201"/>
      <c r="D543" s="201"/>
      <c r="E543" s="201"/>
      <c r="F543" s="201"/>
      <c r="G543" s="201"/>
      <c r="H543" s="201"/>
      <c r="J543" s="201"/>
      <c r="K543" s="201"/>
      <c r="L543" s="201"/>
      <c r="M543" s="201"/>
      <c r="N543" s="201"/>
      <c r="O543" s="201"/>
      <c r="P543" s="262"/>
      <c r="Q543" s="262"/>
    </row>
    <row r="544" spans="1:17">
      <c r="A544" s="201"/>
      <c r="B544" s="201"/>
      <c r="C544" s="201"/>
      <c r="D544" s="201"/>
      <c r="E544" s="201"/>
      <c r="F544" s="201"/>
      <c r="G544" s="201"/>
      <c r="H544" s="201"/>
      <c r="J544" s="201"/>
      <c r="K544" s="201"/>
      <c r="L544" s="201"/>
      <c r="M544" s="201"/>
      <c r="N544" s="201"/>
      <c r="O544" s="201"/>
      <c r="P544" s="262"/>
      <c r="Q544" s="262"/>
    </row>
    <row r="545" spans="1:17">
      <c r="A545" s="201"/>
      <c r="B545" s="201"/>
      <c r="C545" s="201"/>
      <c r="D545" s="201"/>
      <c r="E545" s="201"/>
      <c r="F545" s="201"/>
      <c r="G545" s="201"/>
      <c r="H545" s="201"/>
      <c r="J545" s="201"/>
      <c r="K545" s="201"/>
      <c r="L545" s="201"/>
      <c r="M545" s="201"/>
      <c r="N545" s="201"/>
      <c r="O545" s="201"/>
      <c r="P545" s="262"/>
      <c r="Q545" s="262"/>
    </row>
    <row r="546" spans="1:17">
      <c r="A546" s="201"/>
      <c r="B546" s="201"/>
      <c r="C546" s="201"/>
      <c r="D546" s="201"/>
      <c r="E546" s="201"/>
      <c r="F546" s="201"/>
      <c r="G546" s="201"/>
      <c r="H546" s="201"/>
      <c r="J546" s="201"/>
      <c r="K546" s="201"/>
      <c r="L546" s="201"/>
      <c r="M546" s="201"/>
      <c r="N546" s="201"/>
      <c r="O546" s="201"/>
      <c r="P546" s="262"/>
      <c r="Q546" s="262"/>
    </row>
    <row r="547" spans="1:17">
      <c r="A547" s="201"/>
      <c r="B547" s="201"/>
      <c r="C547" s="201"/>
      <c r="D547" s="201"/>
      <c r="E547" s="201"/>
      <c r="F547" s="201"/>
      <c r="G547" s="201"/>
      <c r="H547" s="201"/>
      <c r="J547" s="201"/>
      <c r="K547" s="201"/>
      <c r="L547" s="201"/>
      <c r="M547" s="201"/>
      <c r="N547" s="201"/>
      <c r="O547" s="201"/>
      <c r="P547" s="262"/>
      <c r="Q547" s="262"/>
    </row>
    <row r="548" spans="1:17">
      <c r="A548" s="201"/>
      <c r="B548" s="201"/>
      <c r="C548" s="201"/>
      <c r="D548" s="201"/>
      <c r="E548" s="201"/>
      <c r="F548" s="201"/>
      <c r="G548" s="201"/>
      <c r="H548" s="201"/>
      <c r="J548" s="201"/>
      <c r="K548" s="201"/>
      <c r="L548" s="201"/>
      <c r="M548" s="201"/>
      <c r="N548" s="201"/>
      <c r="O548" s="201"/>
      <c r="P548" s="262"/>
      <c r="Q548" s="262"/>
    </row>
    <row r="549" spans="1:17">
      <c r="A549" s="201"/>
      <c r="B549" s="201"/>
      <c r="C549" s="201"/>
      <c r="D549" s="201"/>
      <c r="E549" s="201"/>
      <c r="F549" s="201"/>
      <c r="G549" s="201"/>
      <c r="H549" s="201"/>
      <c r="J549" s="201"/>
      <c r="K549" s="201"/>
      <c r="L549" s="201"/>
      <c r="M549" s="201"/>
      <c r="N549" s="201"/>
      <c r="O549" s="201"/>
      <c r="P549" s="262"/>
      <c r="Q549" s="262"/>
    </row>
    <row r="550" spans="1:17">
      <c r="A550" s="201"/>
      <c r="B550" s="201"/>
      <c r="C550" s="201"/>
      <c r="D550" s="201"/>
      <c r="E550" s="201"/>
      <c r="F550" s="201"/>
      <c r="G550" s="201"/>
      <c r="H550" s="201"/>
      <c r="J550" s="201"/>
      <c r="K550" s="201"/>
      <c r="L550" s="201"/>
      <c r="M550" s="201"/>
      <c r="N550" s="201"/>
      <c r="O550" s="201"/>
      <c r="P550" s="262"/>
      <c r="Q550" s="262"/>
    </row>
    <row r="551" spans="1:17">
      <c r="A551" s="201"/>
      <c r="B551" s="201"/>
      <c r="C551" s="201"/>
      <c r="D551" s="201"/>
      <c r="E551" s="201"/>
      <c r="F551" s="201"/>
      <c r="G551" s="201"/>
      <c r="H551" s="201"/>
      <c r="J551" s="201"/>
      <c r="K551" s="201"/>
      <c r="L551" s="201"/>
      <c r="M551" s="201"/>
      <c r="N551" s="201"/>
      <c r="O551" s="201"/>
      <c r="P551" s="262"/>
      <c r="Q551" s="262"/>
    </row>
    <row r="552" spans="1:17">
      <c r="A552" s="201"/>
      <c r="B552" s="201"/>
      <c r="C552" s="201"/>
      <c r="D552" s="201"/>
      <c r="E552" s="201"/>
      <c r="F552" s="201"/>
      <c r="G552" s="201"/>
      <c r="H552" s="201"/>
      <c r="J552" s="201"/>
      <c r="K552" s="201"/>
      <c r="L552" s="201"/>
      <c r="M552" s="201"/>
      <c r="N552" s="201"/>
      <c r="O552" s="201"/>
      <c r="P552" s="262"/>
      <c r="Q552" s="262"/>
    </row>
    <row r="553" spans="1:17">
      <c r="A553" s="201"/>
      <c r="B553" s="201"/>
      <c r="C553" s="201"/>
      <c r="D553" s="201"/>
      <c r="E553" s="201"/>
      <c r="F553" s="201"/>
      <c r="G553" s="201"/>
      <c r="H553" s="201"/>
      <c r="J553" s="201"/>
      <c r="K553" s="201"/>
      <c r="L553" s="201"/>
      <c r="M553" s="201"/>
      <c r="N553" s="201"/>
      <c r="O553" s="201"/>
      <c r="P553" s="262"/>
      <c r="Q553" s="262"/>
    </row>
    <row r="554" spans="1:17">
      <c r="A554" s="201"/>
      <c r="B554" s="201"/>
      <c r="C554" s="201"/>
      <c r="D554" s="201"/>
      <c r="E554" s="201"/>
      <c r="F554" s="201"/>
      <c r="G554" s="201"/>
      <c r="H554" s="201"/>
      <c r="J554" s="201"/>
      <c r="K554" s="201"/>
      <c r="L554" s="201"/>
      <c r="M554" s="201"/>
      <c r="N554" s="201"/>
      <c r="O554" s="201"/>
      <c r="P554" s="262"/>
      <c r="Q554" s="262"/>
    </row>
    <row r="555" spans="1:17">
      <c r="A555" s="201"/>
      <c r="B555" s="201"/>
      <c r="C555" s="201"/>
      <c r="D555" s="201"/>
      <c r="E555" s="201"/>
      <c r="F555" s="201"/>
      <c r="G555" s="201"/>
      <c r="H555" s="201"/>
      <c r="J555" s="201"/>
      <c r="K555" s="201"/>
      <c r="L555" s="201"/>
      <c r="M555" s="201"/>
      <c r="N555" s="201"/>
      <c r="O555" s="201"/>
      <c r="P555" s="262"/>
      <c r="Q555" s="262"/>
    </row>
    <row r="556" spans="1:17">
      <c r="A556" s="201"/>
      <c r="B556" s="201"/>
      <c r="C556" s="201"/>
      <c r="D556" s="201"/>
      <c r="E556" s="201"/>
      <c r="F556" s="201"/>
      <c r="G556" s="201"/>
      <c r="H556" s="201"/>
      <c r="J556" s="201"/>
      <c r="K556" s="201"/>
      <c r="L556" s="201"/>
      <c r="M556" s="201"/>
      <c r="N556" s="201"/>
      <c r="O556" s="201"/>
      <c r="P556" s="262"/>
      <c r="Q556" s="262"/>
    </row>
    <row r="557" spans="1:17">
      <c r="A557" s="201"/>
      <c r="B557" s="201"/>
      <c r="C557" s="201"/>
      <c r="D557" s="201"/>
      <c r="E557" s="201"/>
      <c r="F557" s="201"/>
      <c r="G557" s="201"/>
      <c r="H557" s="201"/>
      <c r="J557" s="201"/>
      <c r="K557" s="201"/>
      <c r="L557" s="201"/>
      <c r="M557" s="201"/>
      <c r="N557" s="201"/>
      <c r="O557" s="201"/>
      <c r="P557" s="262"/>
      <c r="Q557" s="262"/>
    </row>
    <row r="558" spans="1:17">
      <c r="A558" s="201"/>
      <c r="B558" s="201"/>
      <c r="C558" s="201"/>
      <c r="D558" s="201"/>
      <c r="E558" s="201"/>
      <c r="F558" s="201"/>
      <c r="G558" s="201"/>
      <c r="H558" s="201"/>
      <c r="J558" s="201"/>
      <c r="K558" s="201"/>
      <c r="L558" s="201"/>
      <c r="M558" s="201"/>
      <c r="N558" s="201"/>
      <c r="O558" s="201"/>
      <c r="P558" s="262"/>
      <c r="Q558" s="262"/>
    </row>
    <row r="559" spans="1:17">
      <c r="A559" s="201"/>
      <c r="B559" s="201"/>
      <c r="C559" s="201"/>
      <c r="D559" s="201"/>
      <c r="E559" s="201"/>
      <c r="F559" s="201"/>
      <c r="G559" s="201"/>
      <c r="H559" s="201"/>
      <c r="J559" s="201"/>
      <c r="K559" s="201"/>
      <c r="L559" s="201"/>
      <c r="M559" s="201"/>
      <c r="N559" s="201"/>
      <c r="O559" s="201"/>
      <c r="P559" s="262"/>
      <c r="Q559" s="262"/>
    </row>
    <row r="560" spans="1:17">
      <c r="A560" s="201"/>
      <c r="B560" s="201"/>
      <c r="C560" s="201"/>
      <c r="D560" s="201"/>
      <c r="E560" s="201"/>
      <c r="F560" s="201"/>
      <c r="G560" s="201"/>
      <c r="H560" s="201"/>
      <c r="J560" s="201"/>
      <c r="K560" s="201"/>
      <c r="L560" s="201"/>
      <c r="M560" s="201"/>
      <c r="N560" s="201"/>
      <c r="O560" s="201"/>
      <c r="P560" s="262"/>
      <c r="Q560" s="262"/>
    </row>
    <row r="561" spans="1:17">
      <c r="A561" s="201"/>
      <c r="B561" s="201"/>
      <c r="C561" s="201"/>
      <c r="D561" s="201"/>
      <c r="E561" s="201"/>
      <c r="F561" s="201"/>
      <c r="G561" s="201"/>
      <c r="H561" s="201"/>
      <c r="J561" s="201"/>
      <c r="K561" s="201"/>
      <c r="L561" s="201"/>
      <c r="M561" s="201"/>
      <c r="N561" s="201"/>
      <c r="O561" s="201"/>
      <c r="P561" s="262"/>
      <c r="Q561" s="262"/>
    </row>
    <row r="562" spans="1:17">
      <c r="A562" s="201"/>
      <c r="B562" s="201"/>
      <c r="C562" s="201"/>
      <c r="D562" s="201"/>
      <c r="E562" s="201"/>
      <c r="F562" s="201"/>
      <c r="G562" s="201"/>
      <c r="H562" s="201"/>
      <c r="J562" s="201"/>
      <c r="K562" s="201"/>
      <c r="L562" s="201"/>
      <c r="M562" s="201"/>
      <c r="N562" s="201"/>
      <c r="O562" s="201"/>
      <c r="P562" s="262"/>
      <c r="Q562" s="262"/>
    </row>
    <row r="563" spans="1:17">
      <c r="A563" s="201"/>
      <c r="B563" s="201"/>
      <c r="C563" s="201"/>
      <c r="D563" s="201"/>
      <c r="E563" s="201"/>
      <c r="F563" s="201"/>
      <c r="G563" s="201"/>
      <c r="H563" s="201"/>
      <c r="J563" s="201"/>
      <c r="K563" s="201"/>
      <c r="L563" s="201"/>
      <c r="M563" s="201"/>
      <c r="N563" s="201"/>
      <c r="O563" s="201"/>
      <c r="P563" s="262"/>
      <c r="Q563" s="262"/>
    </row>
    <row r="564" spans="1:17">
      <c r="A564" s="201"/>
      <c r="B564" s="201"/>
      <c r="C564" s="201"/>
      <c r="D564" s="201"/>
      <c r="E564" s="201"/>
      <c r="F564" s="201"/>
      <c r="G564" s="201"/>
      <c r="H564" s="201"/>
      <c r="J564" s="201"/>
      <c r="K564" s="201"/>
      <c r="L564" s="201"/>
      <c r="M564" s="201"/>
      <c r="N564" s="201"/>
      <c r="O564" s="201"/>
      <c r="P564" s="262"/>
      <c r="Q564" s="262"/>
    </row>
    <row r="565" spans="1:17">
      <c r="A565" s="201"/>
      <c r="B565" s="201"/>
      <c r="C565" s="201"/>
      <c r="D565" s="201"/>
      <c r="E565" s="201"/>
      <c r="F565" s="201"/>
      <c r="G565" s="201"/>
      <c r="H565" s="201"/>
      <c r="J565" s="201"/>
      <c r="K565" s="201"/>
      <c r="L565" s="201"/>
      <c r="M565" s="201"/>
      <c r="N565" s="201"/>
      <c r="O565" s="201"/>
      <c r="P565" s="262"/>
      <c r="Q565" s="262"/>
    </row>
    <row r="566" spans="1:17">
      <c r="A566" s="201"/>
      <c r="B566" s="201"/>
      <c r="C566" s="201"/>
      <c r="D566" s="201"/>
      <c r="E566" s="201"/>
      <c r="F566" s="201"/>
      <c r="G566" s="201"/>
      <c r="H566" s="201"/>
      <c r="J566" s="201"/>
      <c r="K566" s="201"/>
      <c r="L566" s="201"/>
      <c r="M566" s="201"/>
      <c r="N566" s="201"/>
      <c r="O566" s="201"/>
      <c r="P566" s="262"/>
      <c r="Q566" s="262"/>
    </row>
    <row r="567" spans="1:17">
      <c r="A567" s="201"/>
      <c r="B567" s="201"/>
      <c r="C567" s="201"/>
      <c r="D567" s="201"/>
      <c r="E567" s="201"/>
      <c r="F567" s="201"/>
      <c r="G567" s="201"/>
      <c r="H567" s="201"/>
      <c r="J567" s="201"/>
      <c r="K567" s="201"/>
      <c r="L567" s="201"/>
      <c r="M567" s="201"/>
      <c r="N567" s="201"/>
      <c r="O567" s="201"/>
      <c r="P567" s="262"/>
      <c r="Q567" s="262"/>
    </row>
    <row r="568" spans="1:17">
      <c r="A568" s="201"/>
      <c r="B568" s="201"/>
      <c r="C568" s="201"/>
      <c r="D568" s="201"/>
      <c r="E568" s="201"/>
      <c r="F568" s="201"/>
      <c r="G568" s="201"/>
      <c r="H568" s="201"/>
      <c r="J568" s="201"/>
      <c r="K568" s="201"/>
      <c r="L568" s="201"/>
      <c r="M568" s="201"/>
      <c r="N568" s="201"/>
      <c r="O568" s="201"/>
      <c r="P568" s="262"/>
      <c r="Q568" s="262"/>
    </row>
    <row r="569" spans="1:17">
      <c r="A569" s="201"/>
      <c r="B569" s="201"/>
      <c r="C569" s="201"/>
      <c r="D569" s="201"/>
      <c r="E569" s="201"/>
      <c r="F569" s="201"/>
      <c r="G569" s="201"/>
      <c r="H569" s="201"/>
      <c r="J569" s="201"/>
      <c r="K569" s="201"/>
      <c r="L569" s="201"/>
      <c r="M569" s="201"/>
      <c r="N569" s="201"/>
      <c r="O569" s="201"/>
      <c r="P569" s="262"/>
      <c r="Q569" s="262"/>
    </row>
    <row r="570" spans="1:17">
      <c r="A570" s="201"/>
      <c r="B570" s="201"/>
      <c r="C570" s="201"/>
      <c r="D570" s="201"/>
      <c r="E570" s="201"/>
      <c r="F570" s="201"/>
      <c r="G570" s="201"/>
      <c r="H570" s="201"/>
      <c r="J570" s="201"/>
      <c r="K570" s="201"/>
      <c r="L570" s="201"/>
      <c r="M570" s="201"/>
      <c r="N570" s="201"/>
      <c r="O570" s="201"/>
      <c r="P570" s="262"/>
      <c r="Q570" s="262"/>
    </row>
    <row r="571" spans="1:17">
      <c r="A571" s="201"/>
      <c r="B571" s="201"/>
      <c r="C571" s="201"/>
      <c r="D571" s="201"/>
      <c r="E571" s="201"/>
      <c r="F571" s="201"/>
      <c r="G571" s="201"/>
      <c r="H571" s="201"/>
      <c r="J571" s="201"/>
      <c r="K571" s="201"/>
      <c r="L571" s="201"/>
      <c r="M571" s="201"/>
      <c r="N571" s="201"/>
      <c r="O571" s="201"/>
      <c r="P571" s="262"/>
      <c r="Q571" s="262"/>
    </row>
    <row r="572" spans="1:17">
      <c r="A572" s="201"/>
      <c r="B572" s="201"/>
      <c r="C572" s="201"/>
      <c r="D572" s="201"/>
      <c r="E572" s="201"/>
      <c r="F572" s="201"/>
      <c r="G572" s="201"/>
      <c r="H572" s="201"/>
      <c r="J572" s="201"/>
      <c r="K572" s="201"/>
      <c r="L572" s="201"/>
      <c r="M572" s="201"/>
      <c r="N572" s="201"/>
      <c r="O572" s="201"/>
      <c r="P572" s="262"/>
      <c r="Q572" s="262"/>
    </row>
    <row r="573" spans="1:17">
      <c r="A573" s="201"/>
      <c r="B573" s="201"/>
      <c r="C573" s="201"/>
      <c r="D573" s="201"/>
      <c r="E573" s="201"/>
      <c r="F573" s="201"/>
      <c r="G573" s="201"/>
      <c r="H573" s="201"/>
      <c r="J573" s="201"/>
      <c r="K573" s="201"/>
      <c r="L573" s="201"/>
      <c r="M573" s="201"/>
      <c r="N573" s="201"/>
      <c r="O573" s="201"/>
      <c r="P573" s="262"/>
      <c r="Q573" s="262"/>
    </row>
    <row r="574" spans="1:17">
      <c r="A574" s="201"/>
      <c r="B574" s="201"/>
      <c r="C574" s="201"/>
      <c r="D574" s="201"/>
      <c r="E574" s="201"/>
      <c r="F574" s="201"/>
      <c r="G574" s="201"/>
      <c r="H574" s="201"/>
      <c r="J574" s="201"/>
      <c r="K574" s="201"/>
      <c r="L574" s="201"/>
      <c r="M574" s="201"/>
      <c r="N574" s="201"/>
      <c r="O574" s="201"/>
      <c r="P574" s="262"/>
      <c r="Q574" s="262"/>
    </row>
    <row r="575" spans="1:17">
      <c r="A575" s="201"/>
      <c r="B575" s="201"/>
      <c r="C575" s="201"/>
      <c r="D575" s="201"/>
      <c r="E575" s="201"/>
      <c r="F575" s="201"/>
      <c r="G575" s="201"/>
      <c r="H575" s="201"/>
      <c r="J575" s="201"/>
      <c r="K575" s="201"/>
      <c r="L575" s="201"/>
      <c r="M575" s="201"/>
      <c r="N575" s="201"/>
      <c r="O575" s="201"/>
      <c r="P575" s="262"/>
      <c r="Q575" s="262"/>
    </row>
    <row r="576" spans="1:17">
      <c r="A576" s="201"/>
      <c r="B576" s="201"/>
      <c r="C576" s="201"/>
      <c r="D576" s="201"/>
      <c r="E576" s="201"/>
      <c r="F576" s="201"/>
      <c r="G576" s="201"/>
      <c r="H576" s="201"/>
      <c r="J576" s="201"/>
      <c r="K576" s="201"/>
      <c r="L576" s="201"/>
      <c r="M576" s="201"/>
      <c r="N576" s="201"/>
      <c r="O576" s="201"/>
      <c r="P576" s="262"/>
      <c r="Q576" s="262"/>
    </row>
    <row r="577" spans="1:17">
      <c r="A577" s="201"/>
      <c r="B577" s="201"/>
      <c r="C577" s="201"/>
      <c r="D577" s="201"/>
      <c r="E577" s="201"/>
      <c r="F577" s="201"/>
      <c r="G577" s="201"/>
      <c r="H577" s="201"/>
      <c r="J577" s="201"/>
      <c r="K577" s="201"/>
      <c r="L577" s="201"/>
      <c r="M577" s="201"/>
      <c r="N577" s="201"/>
      <c r="O577" s="201"/>
      <c r="P577" s="262"/>
      <c r="Q577" s="262"/>
    </row>
    <row r="578" spans="1:17">
      <c r="A578" s="201"/>
      <c r="B578" s="201"/>
      <c r="C578" s="201"/>
      <c r="D578" s="201"/>
      <c r="E578" s="201"/>
      <c r="F578" s="201"/>
      <c r="G578" s="201"/>
      <c r="H578" s="201"/>
      <c r="J578" s="201"/>
      <c r="K578" s="201"/>
      <c r="L578" s="201"/>
      <c r="M578" s="201"/>
      <c r="N578" s="201"/>
      <c r="O578" s="201"/>
      <c r="P578" s="262"/>
      <c r="Q578" s="262"/>
    </row>
    <row r="579" spans="1:17">
      <c r="A579" s="201"/>
      <c r="B579" s="201"/>
      <c r="C579" s="201"/>
      <c r="D579" s="201"/>
      <c r="E579" s="201"/>
      <c r="F579" s="201"/>
      <c r="G579" s="201"/>
      <c r="H579" s="201"/>
      <c r="J579" s="201"/>
      <c r="K579" s="201"/>
      <c r="L579" s="201"/>
      <c r="M579" s="201"/>
      <c r="N579" s="201"/>
      <c r="O579" s="201"/>
      <c r="P579" s="262"/>
      <c r="Q579" s="262"/>
    </row>
    <row r="580" spans="1:17">
      <c r="A580" s="201"/>
      <c r="B580" s="201"/>
      <c r="C580" s="201"/>
      <c r="D580" s="201"/>
      <c r="E580" s="201"/>
      <c r="F580" s="201"/>
      <c r="G580" s="201"/>
      <c r="H580" s="201"/>
      <c r="J580" s="201"/>
      <c r="K580" s="201"/>
      <c r="L580" s="201"/>
      <c r="M580" s="201"/>
      <c r="N580" s="201"/>
      <c r="O580" s="201"/>
      <c r="P580" s="262"/>
      <c r="Q580" s="262"/>
    </row>
    <row r="581" spans="1:17">
      <c r="A581" s="201"/>
      <c r="B581" s="201"/>
      <c r="C581" s="201"/>
      <c r="D581" s="201"/>
      <c r="E581" s="201"/>
      <c r="F581" s="201"/>
      <c r="G581" s="201"/>
      <c r="H581" s="201"/>
      <c r="J581" s="201"/>
      <c r="K581" s="201"/>
      <c r="L581" s="201"/>
      <c r="M581" s="201"/>
      <c r="N581" s="201"/>
      <c r="O581" s="201"/>
      <c r="P581" s="262"/>
      <c r="Q581" s="262"/>
    </row>
    <row r="582" spans="1:17">
      <c r="A582" s="201"/>
      <c r="B582" s="201"/>
      <c r="C582" s="201"/>
      <c r="D582" s="201"/>
      <c r="E582" s="201"/>
      <c r="F582" s="201"/>
      <c r="G582" s="201"/>
      <c r="H582" s="201"/>
      <c r="J582" s="201"/>
      <c r="K582" s="201"/>
      <c r="L582" s="201"/>
      <c r="M582" s="201"/>
      <c r="N582" s="201"/>
      <c r="O582" s="201"/>
      <c r="P582" s="262"/>
      <c r="Q582" s="262"/>
    </row>
    <row r="583" spans="1:17">
      <c r="A583" s="201"/>
      <c r="B583" s="201"/>
      <c r="C583" s="201"/>
      <c r="D583" s="201"/>
      <c r="E583" s="201"/>
      <c r="F583" s="201"/>
      <c r="G583" s="201"/>
      <c r="H583" s="201"/>
      <c r="J583" s="201"/>
      <c r="K583" s="201"/>
      <c r="L583" s="201"/>
      <c r="M583" s="201"/>
      <c r="N583" s="201"/>
      <c r="O583" s="201"/>
      <c r="P583" s="262"/>
      <c r="Q583" s="262"/>
    </row>
    <row r="584" spans="1:17">
      <c r="A584" s="201"/>
      <c r="B584" s="201"/>
      <c r="C584" s="201"/>
      <c r="D584" s="201"/>
      <c r="E584" s="201"/>
      <c r="F584" s="201"/>
      <c r="G584" s="201"/>
      <c r="H584" s="201"/>
      <c r="J584" s="201"/>
      <c r="K584" s="201"/>
      <c r="L584" s="201"/>
      <c r="M584" s="201"/>
      <c r="N584" s="201"/>
      <c r="O584" s="201"/>
      <c r="P584" s="262"/>
      <c r="Q584" s="262"/>
    </row>
    <row r="585" spans="1:17">
      <c r="A585" s="201"/>
      <c r="B585" s="201"/>
      <c r="C585" s="201"/>
      <c r="D585" s="201"/>
      <c r="E585" s="201"/>
      <c r="F585" s="201"/>
      <c r="G585" s="201"/>
      <c r="H585" s="201"/>
      <c r="J585" s="201"/>
      <c r="K585" s="201"/>
      <c r="L585" s="201"/>
      <c r="M585" s="201"/>
      <c r="N585" s="201"/>
      <c r="O585" s="201"/>
      <c r="P585" s="262"/>
      <c r="Q585" s="262"/>
    </row>
    <row r="586" spans="1:17">
      <c r="A586" s="201"/>
      <c r="B586" s="201"/>
      <c r="C586" s="201"/>
      <c r="D586" s="201"/>
      <c r="E586" s="201"/>
      <c r="F586" s="201"/>
      <c r="G586" s="201"/>
      <c r="H586" s="201"/>
      <c r="J586" s="201"/>
      <c r="K586" s="201"/>
      <c r="L586" s="201"/>
      <c r="M586" s="201"/>
      <c r="N586" s="201"/>
      <c r="O586" s="201"/>
      <c r="P586" s="262"/>
      <c r="Q586" s="262"/>
    </row>
    <row r="587" spans="1:17">
      <c r="A587" s="201"/>
      <c r="B587" s="201"/>
      <c r="C587" s="201"/>
      <c r="D587" s="201"/>
      <c r="E587" s="201"/>
      <c r="F587" s="201"/>
      <c r="G587" s="201"/>
      <c r="H587" s="201"/>
      <c r="J587" s="201"/>
      <c r="K587" s="201"/>
      <c r="L587" s="201"/>
      <c r="M587" s="201"/>
      <c r="N587" s="201"/>
      <c r="O587" s="201"/>
      <c r="P587" s="262"/>
      <c r="Q587" s="262"/>
    </row>
    <row r="588" spans="1:17">
      <c r="A588" s="201"/>
      <c r="B588" s="201"/>
      <c r="C588" s="201"/>
      <c r="D588" s="201"/>
      <c r="E588" s="201"/>
      <c r="F588" s="201"/>
      <c r="G588" s="201"/>
      <c r="H588" s="201"/>
      <c r="J588" s="201"/>
      <c r="K588" s="201"/>
      <c r="L588" s="201"/>
      <c r="M588" s="201"/>
      <c r="N588" s="201"/>
      <c r="O588" s="201"/>
      <c r="P588" s="262"/>
      <c r="Q588" s="262"/>
    </row>
    <row r="589" spans="1:17">
      <c r="A589" s="201"/>
      <c r="B589" s="201"/>
      <c r="C589" s="201"/>
      <c r="D589" s="201"/>
      <c r="E589" s="201"/>
      <c r="F589" s="201"/>
      <c r="G589" s="201"/>
      <c r="H589" s="201"/>
      <c r="J589" s="201"/>
      <c r="K589" s="201"/>
      <c r="L589" s="201"/>
      <c r="M589" s="201"/>
      <c r="N589" s="201"/>
      <c r="O589" s="201"/>
      <c r="P589" s="262"/>
      <c r="Q589" s="262"/>
    </row>
    <row r="590" spans="1:17">
      <c r="A590" s="201"/>
      <c r="B590" s="201"/>
      <c r="C590" s="201"/>
      <c r="D590" s="201"/>
      <c r="E590" s="201"/>
      <c r="F590" s="201"/>
      <c r="G590" s="201"/>
      <c r="H590" s="201"/>
      <c r="J590" s="201"/>
      <c r="K590" s="201"/>
      <c r="L590" s="201"/>
      <c r="M590" s="201"/>
      <c r="N590" s="201"/>
      <c r="O590" s="201"/>
      <c r="P590" s="262"/>
      <c r="Q590" s="262"/>
    </row>
    <row r="591" spans="1:17">
      <c r="A591" s="201"/>
      <c r="B591" s="201"/>
      <c r="C591" s="201"/>
      <c r="D591" s="201"/>
      <c r="E591" s="201"/>
      <c r="F591" s="201"/>
      <c r="G591" s="201"/>
      <c r="H591" s="201"/>
      <c r="J591" s="201"/>
      <c r="K591" s="201"/>
      <c r="L591" s="201"/>
      <c r="M591" s="201"/>
      <c r="N591" s="201"/>
      <c r="O591" s="201"/>
      <c r="P591" s="262"/>
      <c r="Q591" s="262"/>
    </row>
    <row r="592" spans="1:17">
      <c r="A592" s="201"/>
      <c r="B592" s="201"/>
      <c r="C592" s="201"/>
      <c r="D592" s="201"/>
      <c r="E592" s="201"/>
      <c r="F592" s="201"/>
      <c r="G592" s="201"/>
      <c r="H592" s="201"/>
      <c r="J592" s="201"/>
      <c r="K592" s="201"/>
      <c r="L592" s="201"/>
      <c r="M592" s="201"/>
      <c r="N592" s="201"/>
      <c r="O592" s="201"/>
      <c r="P592" s="262"/>
      <c r="Q592" s="262"/>
    </row>
    <row r="593" spans="1:17">
      <c r="A593" s="201"/>
      <c r="B593" s="201"/>
      <c r="C593" s="201"/>
      <c r="D593" s="201"/>
      <c r="E593" s="201"/>
      <c r="F593" s="201"/>
      <c r="G593" s="201"/>
      <c r="H593" s="201"/>
      <c r="J593" s="201"/>
      <c r="K593" s="201"/>
      <c r="L593" s="201"/>
      <c r="M593" s="201"/>
      <c r="N593" s="201"/>
      <c r="O593" s="201"/>
      <c r="P593" s="262"/>
      <c r="Q593" s="262"/>
    </row>
    <row r="594" spans="1:17">
      <c r="A594" s="201"/>
      <c r="B594" s="201"/>
      <c r="C594" s="201"/>
      <c r="D594" s="201"/>
      <c r="E594" s="201"/>
      <c r="F594" s="201"/>
      <c r="G594" s="201"/>
      <c r="H594" s="201"/>
      <c r="J594" s="201"/>
      <c r="K594" s="201"/>
      <c r="L594" s="201"/>
      <c r="M594" s="201"/>
      <c r="N594" s="201"/>
      <c r="O594" s="201"/>
      <c r="P594" s="262"/>
      <c r="Q594" s="262"/>
    </row>
    <row r="595" spans="1:17">
      <c r="A595" s="201"/>
      <c r="B595" s="201"/>
      <c r="C595" s="201"/>
      <c r="D595" s="201"/>
      <c r="E595" s="201"/>
      <c r="F595" s="201"/>
      <c r="G595" s="201"/>
      <c r="H595" s="201"/>
      <c r="J595" s="201"/>
      <c r="K595" s="201"/>
      <c r="L595" s="201"/>
      <c r="M595" s="201"/>
      <c r="N595" s="201"/>
      <c r="O595" s="201"/>
      <c r="P595" s="262"/>
      <c r="Q595" s="262"/>
    </row>
    <row r="596" spans="1:17">
      <c r="A596" s="201"/>
      <c r="B596" s="201"/>
      <c r="C596" s="201"/>
      <c r="D596" s="201"/>
      <c r="E596" s="201"/>
      <c r="F596" s="201"/>
      <c r="G596" s="201"/>
      <c r="H596" s="201"/>
      <c r="J596" s="201"/>
      <c r="K596" s="201"/>
      <c r="L596" s="201"/>
      <c r="M596" s="201"/>
      <c r="N596" s="201"/>
      <c r="O596" s="201"/>
      <c r="P596" s="262"/>
      <c r="Q596" s="262"/>
    </row>
    <row r="597" spans="1:17">
      <c r="A597" s="201"/>
      <c r="B597" s="201"/>
      <c r="C597" s="201"/>
      <c r="D597" s="201"/>
      <c r="E597" s="201"/>
      <c r="F597" s="201"/>
      <c r="G597" s="201"/>
      <c r="H597" s="201"/>
      <c r="J597" s="201"/>
      <c r="K597" s="201"/>
      <c r="L597" s="201"/>
      <c r="M597" s="201"/>
      <c r="N597" s="201"/>
      <c r="O597" s="201"/>
      <c r="P597" s="262"/>
      <c r="Q597" s="262"/>
    </row>
    <row r="598" spans="1:17">
      <c r="A598" s="201"/>
      <c r="B598" s="201"/>
      <c r="C598" s="201"/>
      <c r="D598" s="201"/>
      <c r="E598" s="201"/>
      <c r="F598" s="201"/>
      <c r="G598" s="201"/>
      <c r="H598" s="201"/>
      <c r="J598" s="201"/>
      <c r="K598" s="201"/>
      <c r="L598" s="201"/>
      <c r="M598" s="201"/>
      <c r="N598" s="201"/>
      <c r="O598" s="201"/>
      <c r="P598" s="262"/>
      <c r="Q598" s="262"/>
    </row>
    <row r="599" spans="1:17">
      <c r="A599" s="201"/>
      <c r="B599" s="201"/>
      <c r="C599" s="201"/>
      <c r="D599" s="201"/>
      <c r="E599" s="201"/>
      <c r="F599" s="201"/>
      <c r="G599" s="201"/>
      <c r="H599" s="201"/>
      <c r="J599" s="201"/>
      <c r="K599" s="201"/>
      <c r="L599" s="201"/>
      <c r="M599" s="201"/>
      <c r="N599" s="201"/>
      <c r="O599" s="201"/>
      <c r="P599" s="262"/>
      <c r="Q599" s="262"/>
    </row>
    <row r="600" spans="1:17">
      <c r="A600" s="201"/>
      <c r="B600" s="201"/>
      <c r="C600" s="201"/>
      <c r="D600" s="201"/>
      <c r="E600" s="201"/>
      <c r="F600" s="201"/>
      <c r="G600" s="201"/>
      <c r="H600" s="201"/>
      <c r="J600" s="201"/>
      <c r="K600" s="201"/>
      <c r="L600" s="201"/>
      <c r="M600" s="201"/>
      <c r="N600" s="201"/>
      <c r="O600" s="201"/>
      <c r="P600" s="262"/>
      <c r="Q600" s="262"/>
    </row>
    <row r="601" spans="1:17">
      <c r="A601" s="201"/>
      <c r="B601" s="201"/>
      <c r="C601" s="201"/>
      <c r="D601" s="201"/>
      <c r="E601" s="201"/>
      <c r="F601" s="201"/>
      <c r="G601" s="201"/>
      <c r="H601" s="201"/>
      <c r="J601" s="201"/>
      <c r="K601" s="201"/>
      <c r="L601" s="201"/>
      <c r="M601" s="201"/>
      <c r="N601" s="201"/>
      <c r="O601" s="201"/>
      <c r="P601" s="262"/>
      <c r="Q601" s="262"/>
    </row>
    <row r="602" spans="1:17">
      <c r="A602" s="201"/>
      <c r="B602" s="201"/>
      <c r="C602" s="201"/>
      <c r="D602" s="201"/>
      <c r="E602" s="201"/>
      <c r="F602" s="201"/>
      <c r="G602" s="201"/>
      <c r="H602" s="201"/>
      <c r="J602" s="201"/>
      <c r="K602" s="201"/>
      <c r="L602" s="201"/>
      <c r="M602" s="201"/>
      <c r="N602" s="201"/>
      <c r="O602" s="201"/>
      <c r="P602" s="262"/>
      <c r="Q602" s="262"/>
    </row>
    <row r="603" spans="1:17">
      <c r="A603" s="201"/>
      <c r="B603" s="201"/>
      <c r="C603" s="201"/>
      <c r="D603" s="201"/>
      <c r="E603" s="201"/>
      <c r="F603" s="201"/>
      <c r="G603" s="201"/>
      <c r="H603" s="201"/>
      <c r="J603" s="201"/>
      <c r="K603" s="201"/>
      <c r="L603" s="201"/>
      <c r="M603" s="201"/>
      <c r="N603" s="201"/>
      <c r="O603" s="201"/>
      <c r="P603" s="262"/>
      <c r="Q603" s="262"/>
    </row>
    <row r="604" spans="1:17">
      <c r="A604" s="201"/>
      <c r="B604" s="201"/>
      <c r="C604" s="201"/>
      <c r="D604" s="201"/>
      <c r="E604" s="201"/>
      <c r="F604" s="201"/>
      <c r="G604" s="201"/>
      <c r="H604" s="201"/>
      <c r="J604" s="201"/>
      <c r="K604" s="201"/>
      <c r="L604" s="201"/>
      <c r="M604" s="201"/>
      <c r="N604" s="201"/>
      <c r="O604" s="201"/>
      <c r="P604" s="262"/>
      <c r="Q604" s="262"/>
    </row>
    <row r="605" spans="1:17">
      <c r="A605" s="201"/>
      <c r="B605" s="201"/>
      <c r="C605" s="201"/>
      <c r="D605" s="201"/>
      <c r="E605" s="201"/>
      <c r="F605" s="201"/>
      <c r="G605" s="201"/>
      <c r="H605" s="201"/>
      <c r="J605" s="201"/>
      <c r="K605" s="201"/>
      <c r="L605" s="201"/>
      <c r="M605" s="201"/>
      <c r="N605" s="201"/>
      <c r="O605" s="201"/>
      <c r="P605" s="262"/>
      <c r="Q605" s="262"/>
    </row>
    <row r="606" spans="1:17">
      <c r="A606" s="201"/>
      <c r="B606" s="201"/>
      <c r="C606" s="201"/>
      <c r="D606" s="201"/>
      <c r="E606" s="201"/>
      <c r="F606" s="201"/>
      <c r="G606" s="201"/>
      <c r="H606" s="201"/>
      <c r="J606" s="201"/>
      <c r="K606" s="201"/>
      <c r="L606" s="201"/>
      <c r="M606" s="201"/>
      <c r="N606" s="201"/>
      <c r="O606" s="201"/>
      <c r="P606" s="262"/>
      <c r="Q606" s="262"/>
    </row>
    <row r="607" spans="1:17">
      <c r="A607" s="201"/>
      <c r="B607" s="201"/>
      <c r="C607" s="201"/>
      <c r="D607" s="201"/>
      <c r="E607" s="201"/>
      <c r="F607" s="201"/>
      <c r="G607" s="201"/>
      <c r="H607" s="201"/>
      <c r="J607" s="201"/>
      <c r="K607" s="201"/>
      <c r="L607" s="201"/>
      <c r="M607" s="201"/>
      <c r="N607" s="201"/>
      <c r="O607" s="201"/>
      <c r="P607" s="262"/>
      <c r="Q607" s="262"/>
    </row>
    <row r="608" spans="1:17">
      <c r="A608" s="201"/>
      <c r="B608" s="201"/>
      <c r="C608" s="201"/>
      <c r="D608" s="201"/>
      <c r="E608" s="201"/>
      <c r="F608" s="201"/>
      <c r="G608" s="201"/>
      <c r="H608" s="201"/>
      <c r="J608" s="201"/>
      <c r="K608" s="201"/>
      <c r="L608" s="201"/>
      <c r="M608" s="201"/>
      <c r="N608" s="201"/>
      <c r="O608" s="201"/>
      <c r="P608" s="262"/>
      <c r="Q608" s="262"/>
    </row>
    <row r="609" spans="1:17">
      <c r="A609" s="201"/>
      <c r="B609" s="201"/>
      <c r="C609" s="201"/>
      <c r="D609" s="201"/>
      <c r="E609" s="201"/>
      <c r="F609" s="201"/>
      <c r="G609" s="201"/>
      <c r="H609" s="201"/>
      <c r="J609" s="201"/>
      <c r="K609" s="201"/>
      <c r="L609" s="201"/>
      <c r="M609" s="201"/>
      <c r="N609" s="201"/>
      <c r="O609" s="201"/>
      <c r="P609" s="262"/>
      <c r="Q609" s="262"/>
    </row>
    <row r="610" spans="1:17">
      <c r="A610" s="201"/>
      <c r="B610" s="201"/>
      <c r="C610" s="201"/>
      <c r="D610" s="201"/>
      <c r="E610" s="201"/>
      <c r="F610" s="201"/>
      <c r="G610" s="201"/>
      <c r="H610" s="201"/>
      <c r="J610" s="201"/>
      <c r="K610" s="201"/>
      <c r="L610" s="201"/>
      <c r="M610" s="201"/>
      <c r="N610" s="201"/>
      <c r="O610" s="201"/>
      <c r="P610" s="262"/>
      <c r="Q610" s="262"/>
    </row>
    <row r="611" spans="1:17">
      <c r="A611" s="201"/>
      <c r="B611" s="201"/>
      <c r="C611" s="201"/>
      <c r="D611" s="201"/>
      <c r="E611" s="201"/>
      <c r="F611" s="201"/>
      <c r="G611" s="201"/>
      <c r="H611" s="201"/>
      <c r="J611" s="201"/>
      <c r="K611" s="201"/>
      <c r="L611" s="201"/>
      <c r="M611" s="201"/>
      <c r="N611" s="201"/>
      <c r="O611" s="201"/>
      <c r="P611" s="262"/>
      <c r="Q611" s="262"/>
    </row>
    <row r="612" spans="1:17">
      <c r="A612" s="201"/>
      <c r="B612" s="201"/>
      <c r="C612" s="201"/>
      <c r="D612" s="201"/>
      <c r="E612" s="201"/>
      <c r="F612" s="201"/>
      <c r="G612" s="201"/>
      <c r="H612" s="201"/>
      <c r="J612" s="201"/>
      <c r="K612" s="201"/>
      <c r="L612" s="201"/>
      <c r="M612" s="201"/>
      <c r="N612" s="201"/>
      <c r="O612" s="201"/>
      <c r="P612" s="262"/>
      <c r="Q612" s="262"/>
    </row>
    <row r="613" spans="1:17">
      <c r="A613" s="201"/>
      <c r="B613" s="201"/>
      <c r="C613" s="201"/>
      <c r="D613" s="201"/>
      <c r="E613" s="201"/>
      <c r="F613" s="201"/>
      <c r="G613" s="201"/>
      <c r="H613" s="201"/>
      <c r="J613" s="201"/>
      <c r="K613" s="201"/>
      <c r="L613" s="201"/>
      <c r="M613" s="201"/>
      <c r="N613" s="201"/>
      <c r="O613" s="201"/>
      <c r="P613" s="262"/>
      <c r="Q613" s="262"/>
    </row>
    <row r="614" spans="1:17">
      <c r="A614" s="201"/>
      <c r="B614" s="201"/>
      <c r="C614" s="201"/>
      <c r="D614" s="201"/>
      <c r="E614" s="201"/>
      <c r="F614" s="201"/>
      <c r="G614" s="201"/>
      <c r="H614" s="201"/>
      <c r="J614" s="201"/>
      <c r="K614" s="201"/>
      <c r="L614" s="201"/>
      <c r="M614" s="201"/>
      <c r="N614" s="201"/>
      <c r="O614" s="201"/>
      <c r="P614" s="262"/>
      <c r="Q614" s="262"/>
    </row>
    <row r="615" spans="1:17">
      <c r="A615" s="201"/>
      <c r="B615" s="201"/>
      <c r="C615" s="201"/>
      <c r="D615" s="201"/>
      <c r="E615" s="201"/>
      <c r="F615" s="201"/>
      <c r="G615" s="201"/>
      <c r="H615" s="201"/>
      <c r="J615" s="201"/>
      <c r="K615" s="201"/>
      <c r="L615" s="201"/>
      <c r="M615" s="201"/>
      <c r="N615" s="201"/>
      <c r="O615" s="201"/>
      <c r="P615" s="262"/>
      <c r="Q615" s="262"/>
    </row>
    <row r="616" spans="1:17">
      <c r="A616" s="201"/>
      <c r="B616" s="201"/>
      <c r="C616" s="201"/>
      <c r="D616" s="201"/>
      <c r="E616" s="201"/>
      <c r="F616" s="201"/>
      <c r="G616" s="201"/>
      <c r="H616" s="201"/>
      <c r="J616" s="201"/>
      <c r="K616" s="201"/>
      <c r="L616" s="201"/>
      <c r="M616" s="201"/>
      <c r="N616" s="201"/>
      <c r="O616" s="201"/>
      <c r="P616" s="262"/>
      <c r="Q616" s="262"/>
    </row>
    <row r="617" spans="1:17">
      <c r="A617" s="201"/>
      <c r="B617" s="201"/>
      <c r="C617" s="201"/>
      <c r="D617" s="201"/>
      <c r="E617" s="201"/>
      <c r="F617" s="201"/>
      <c r="G617" s="201"/>
      <c r="H617" s="201"/>
      <c r="J617" s="201"/>
      <c r="K617" s="201"/>
      <c r="L617" s="201"/>
      <c r="M617" s="201"/>
      <c r="N617" s="201"/>
      <c r="O617" s="201"/>
      <c r="P617" s="262"/>
      <c r="Q617" s="262"/>
    </row>
    <row r="618" spans="1:17">
      <c r="A618" s="201"/>
      <c r="B618" s="201"/>
      <c r="C618" s="201"/>
      <c r="D618" s="201"/>
      <c r="E618" s="201"/>
      <c r="F618" s="201"/>
      <c r="G618" s="201"/>
      <c r="H618" s="201"/>
      <c r="J618" s="201"/>
      <c r="K618" s="201"/>
      <c r="L618" s="201"/>
      <c r="M618" s="201"/>
      <c r="N618" s="201"/>
      <c r="O618" s="201"/>
      <c r="P618" s="262"/>
      <c r="Q618" s="262"/>
    </row>
    <row r="619" spans="1:17">
      <c r="A619" s="201"/>
      <c r="B619" s="201"/>
      <c r="C619" s="201"/>
      <c r="D619" s="201"/>
      <c r="E619" s="201"/>
      <c r="F619" s="201"/>
      <c r="G619" s="201"/>
      <c r="H619" s="201"/>
      <c r="J619" s="201"/>
      <c r="K619" s="201"/>
      <c r="L619" s="201"/>
      <c r="M619" s="201"/>
      <c r="N619" s="201"/>
      <c r="O619" s="201"/>
      <c r="P619" s="262"/>
      <c r="Q619" s="262"/>
    </row>
    <row r="620" spans="1:17">
      <c r="A620" s="201"/>
      <c r="B620" s="201"/>
      <c r="C620" s="201"/>
      <c r="D620" s="201"/>
      <c r="E620" s="201"/>
      <c r="F620" s="201"/>
      <c r="G620" s="201"/>
      <c r="H620" s="201"/>
      <c r="J620" s="201"/>
      <c r="K620" s="201"/>
      <c r="L620" s="201"/>
      <c r="M620" s="201"/>
      <c r="N620" s="201"/>
      <c r="O620" s="201"/>
      <c r="P620" s="262"/>
      <c r="Q620" s="262"/>
    </row>
    <row r="621" spans="1:17">
      <c r="A621" s="201"/>
      <c r="B621" s="201"/>
      <c r="C621" s="201"/>
      <c r="D621" s="201"/>
      <c r="E621" s="201"/>
      <c r="F621" s="201"/>
      <c r="G621" s="201"/>
      <c r="H621" s="201"/>
      <c r="J621" s="201"/>
      <c r="K621" s="201"/>
      <c r="L621" s="201"/>
      <c r="M621" s="201"/>
      <c r="N621" s="201"/>
      <c r="O621" s="201"/>
      <c r="P621" s="262"/>
      <c r="Q621" s="262"/>
    </row>
    <row r="622" spans="1:17">
      <c r="A622" s="201"/>
      <c r="B622" s="201"/>
      <c r="C622" s="201"/>
      <c r="D622" s="201"/>
      <c r="E622" s="201"/>
      <c r="F622" s="201"/>
      <c r="G622" s="201"/>
      <c r="H622" s="201"/>
      <c r="J622" s="201"/>
      <c r="K622" s="201"/>
      <c r="L622" s="201"/>
      <c r="M622" s="201"/>
      <c r="N622" s="201"/>
      <c r="O622" s="201"/>
      <c r="P622" s="262"/>
      <c r="Q622" s="262"/>
    </row>
    <row r="623" spans="1:17">
      <c r="A623" s="201"/>
      <c r="B623" s="201"/>
      <c r="C623" s="201"/>
      <c r="D623" s="201"/>
      <c r="E623" s="201"/>
      <c r="F623" s="201"/>
      <c r="G623" s="201"/>
      <c r="H623" s="201"/>
      <c r="J623" s="201"/>
      <c r="K623" s="201"/>
      <c r="L623" s="201"/>
      <c r="M623" s="201"/>
      <c r="N623" s="201"/>
      <c r="O623" s="201"/>
      <c r="P623" s="262"/>
      <c r="Q623" s="262"/>
    </row>
    <row r="624" spans="1:17">
      <c r="A624" s="201"/>
      <c r="B624" s="201"/>
      <c r="C624" s="201"/>
      <c r="D624" s="201"/>
      <c r="E624" s="201"/>
      <c r="F624" s="201"/>
      <c r="G624" s="201"/>
      <c r="H624" s="201"/>
      <c r="J624" s="201"/>
      <c r="K624" s="201"/>
      <c r="L624" s="201"/>
      <c r="M624" s="201"/>
      <c r="N624" s="201"/>
      <c r="O624" s="201"/>
      <c r="P624" s="262"/>
      <c r="Q624" s="262"/>
    </row>
    <row r="625" spans="1:17">
      <c r="A625" s="201"/>
      <c r="B625" s="201"/>
      <c r="C625" s="201"/>
      <c r="D625" s="201"/>
      <c r="E625" s="201"/>
      <c r="F625" s="201"/>
      <c r="G625" s="201"/>
      <c r="H625" s="201"/>
      <c r="J625" s="201"/>
      <c r="K625" s="201"/>
      <c r="L625" s="201"/>
      <c r="M625" s="201"/>
      <c r="N625" s="201"/>
      <c r="O625" s="201"/>
      <c r="P625" s="262"/>
      <c r="Q625" s="262"/>
    </row>
    <row r="626" spans="1:17">
      <c r="A626" s="201"/>
      <c r="B626" s="201"/>
      <c r="C626" s="201"/>
      <c r="D626" s="201"/>
      <c r="E626" s="201"/>
      <c r="F626" s="201"/>
      <c r="G626" s="201"/>
      <c r="H626" s="201"/>
      <c r="J626" s="201"/>
      <c r="K626" s="201"/>
      <c r="L626" s="201"/>
      <c r="M626" s="201"/>
      <c r="N626" s="201"/>
      <c r="O626" s="201"/>
      <c r="P626" s="262"/>
      <c r="Q626" s="262"/>
    </row>
    <row r="627" spans="1:17">
      <c r="A627" s="201"/>
      <c r="B627" s="201"/>
      <c r="C627" s="201"/>
      <c r="D627" s="201"/>
      <c r="E627" s="201"/>
      <c r="F627" s="201"/>
      <c r="G627" s="201"/>
      <c r="H627" s="201"/>
      <c r="J627" s="201"/>
      <c r="K627" s="201"/>
      <c r="L627" s="201"/>
      <c r="M627" s="201"/>
      <c r="N627" s="201"/>
      <c r="O627" s="201"/>
      <c r="P627" s="262"/>
      <c r="Q627" s="262"/>
    </row>
    <row r="628" spans="1:17">
      <c r="A628" s="201"/>
      <c r="B628" s="201"/>
      <c r="C628" s="201"/>
      <c r="D628" s="201"/>
      <c r="E628" s="201"/>
      <c r="F628" s="201"/>
      <c r="G628" s="201"/>
      <c r="H628" s="201"/>
      <c r="J628" s="201"/>
      <c r="K628" s="201"/>
      <c r="L628" s="201"/>
      <c r="M628" s="201"/>
      <c r="N628" s="201"/>
      <c r="O628" s="201"/>
      <c r="P628" s="262"/>
      <c r="Q628" s="262"/>
    </row>
    <row r="629" spans="1:17">
      <c r="A629" s="201"/>
      <c r="B629" s="201"/>
      <c r="C629" s="201"/>
      <c r="D629" s="201"/>
      <c r="E629" s="201"/>
      <c r="F629" s="201"/>
      <c r="G629" s="201"/>
      <c r="H629" s="201"/>
      <c r="J629" s="201"/>
      <c r="K629" s="201"/>
      <c r="L629" s="201"/>
      <c r="M629" s="201"/>
      <c r="N629" s="201"/>
      <c r="O629" s="201"/>
      <c r="P629" s="262"/>
      <c r="Q629" s="262"/>
    </row>
    <row r="630" spans="1:17">
      <c r="A630" s="201"/>
      <c r="B630" s="201"/>
      <c r="C630" s="201"/>
      <c r="D630" s="201"/>
      <c r="E630" s="201"/>
      <c r="F630" s="201"/>
      <c r="G630" s="201"/>
      <c r="H630" s="201"/>
      <c r="J630" s="201"/>
      <c r="K630" s="201"/>
      <c r="L630" s="201"/>
      <c r="M630" s="201"/>
      <c r="N630" s="201"/>
      <c r="O630" s="201"/>
      <c r="P630" s="262"/>
      <c r="Q630" s="262"/>
    </row>
    <row r="631" spans="1:17">
      <c r="A631" s="201"/>
      <c r="B631" s="201"/>
      <c r="C631" s="201"/>
      <c r="D631" s="201"/>
      <c r="E631" s="201"/>
      <c r="F631" s="201"/>
      <c r="G631" s="201"/>
      <c r="H631" s="201"/>
      <c r="J631" s="201"/>
      <c r="K631" s="201"/>
      <c r="L631" s="201"/>
      <c r="M631" s="201"/>
      <c r="N631" s="201"/>
      <c r="O631" s="201"/>
      <c r="P631" s="262"/>
      <c r="Q631" s="262"/>
    </row>
    <row r="632" spans="1:17">
      <c r="A632" s="201"/>
      <c r="B632" s="201"/>
      <c r="C632" s="201"/>
      <c r="D632" s="201"/>
      <c r="E632" s="201"/>
      <c r="F632" s="201"/>
      <c r="G632" s="201"/>
      <c r="H632" s="201"/>
      <c r="J632" s="201"/>
      <c r="K632" s="201"/>
      <c r="L632" s="201"/>
      <c r="M632" s="201"/>
      <c r="N632" s="201"/>
      <c r="O632" s="201"/>
      <c r="P632" s="262"/>
      <c r="Q632" s="262"/>
    </row>
    <row r="633" spans="1:17">
      <c r="A633" s="201"/>
      <c r="B633" s="201"/>
      <c r="C633" s="201"/>
      <c r="D633" s="201"/>
      <c r="E633" s="201"/>
      <c r="F633" s="201"/>
      <c r="G633" s="201"/>
      <c r="H633" s="201"/>
      <c r="J633" s="201"/>
      <c r="K633" s="201"/>
      <c r="L633" s="201"/>
      <c r="M633" s="201"/>
      <c r="N633" s="201"/>
      <c r="O633" s="201"/>
      <c r="P633" s="262"/>
      <c r="Q633" s="262"/>
    </row>
    <row r="634" spans="1:17">
      <c r="A634" s="201"/>
      <c r="B634" s="201"/>
      <c r="C634" s="201"/>
      <c r="D634" s="201"/>
      <c r="E634" s="201"/>
      <c r="F634" s="201"/>
      <c r="G634" s="201"/>
      <c r="H634" s="201"/>
      <c r="J634" s="201"/>
      <c r="K634" s="201"/>
      <c r="L634" s="201"/>
      <c r="M634" s="201"/>
      <c r="N634" s="201"/>
      <c r="O634" s="201"/>
      <c r="P634" s="262"/>
      <c r="Q634" s="262"/>
    </row>
    <row r="635" spans="1:17">
      <c r="A635" s="201"/>
      <c r="B635" s="201"/>
      <c r="C635" s="201"/>
      <c r="D635" s="201"/>
      <c r="E635" s="201"/>
      <c r="F635" s="201"/>
      <c r="G635" s="201"/>
      <c r="H635" s="201"/>
      <c r="J635" s="201"/>
      <c r="K635" s="201"/>
      <c r="L635" s="201"/>
      <c r="M635" s="201"/>
      <c r="N635" s="201"/>
      <c r="O635" s="201"/>
      <c r="P635" s="262"/>
      <c r="Q635" s="262"/>
    </row>
    <row r="636" spans="1:17">
      <c r="A636" s="201"/>
      <c r="B636" s="201"/>
      <c r="C636" s="201"/>
      <c r="D636" s="201"/>
      <c r="E636" s="201"/>
      <c r="F636" s="201"/>
      <c r="G636" s="201"/>
      <c r="H636" s="201"/>
      <c r="J636" s="201"/>
      <c r="K636" s="201"/>
      <c r="L636" s="201"/>
      <c r="M636" s="201"/>
      <c r="N636" s="201"/>
      <c r="O636" s="201"/>
      <c r="P636" s="262"/>
      <c r="Q636" s="262"/>
    </row>
    <row r="637" spans="1:17">
      <c r="A637" s="201"/>
      <c r="B637" s="201"/>
      <c r="C637" s="201"/>
      <c r="D637" s="201"/>
      <c r="E637" s="201"/>
      <c r="F637" s="201"/>
      <c r="G637" s="201"/>
      <c r="H637" s="201"/>
      <c r="J637" s="201"/>
      <c r="K637" s="201"/>
      <c r="L637" s="201"/>
      <c r="M637" s="201"/>
      <c r="N637" s="201"/>
      <c r="O637" s="201"/>
      <c r="P637" s="262"/>
      <c r="Q637" s="262"/>
    </row>
    <row r="638" spans="1:17">
      <c r="A638" s="201"/>
      <c r="B638" s="201"/>
      <c r="C638" s="201"/>
      <c r="D638" s="201"/>
      <c r="E638" s="201"/>
      <c r="F638" s="201"/>
      <c r="G638" s="201"/>
      <c r="H638" s="201"/>
      <c r="J638" s="201"/>
      <c r="K638" s="201"/>
      <c r="L638" s="201"/>
      <c r="M638" s="201"/>
      <c r="N638" s="201"/>
      <c r="O638" s="201"/>
      <c r="P638" s="262"/>
      <c r="Q638" s="262"/>
    </row>
    <row r="639" spans="1:17">
      <c r="A639" s="201"/>
      <c r="B639" s="201"/>
      <c r="C639" s="201"/>
      <c r="D639" s="201"/>
      <c r="E639" s="201"/>
      <c r="F639" s="201"/>
      <c r="G639" s="201"/>
      <c r="H639" s="201"/>
      <c r="J639" s="201"/>
      <c r="K639" s="201"/>
      <c r="L639" s="201"/>
      <c r="M639" s="201"/>
      <c r="N639" s="201"/>
      <c r="O639" s="201"/>
      <c r="P639" s="262"/>
      <c r="Q639" s="262"/>
    </row>
    <row r="640" spans="1:17">
      <c r="A640" s="201"/>
      <c r="B640" s="201"/>
      <c r="C640" s="201"/>
      <c r="D640" s="201"/>
      <c r="E640" s="201"/>
      <c r="F640" s="201"/>
      <c r="G640" s="201"/>
      <c r="H640" s="201"/>
      <c r="J640" s="201"/>
      <c r="K640" s="201"/>
      <c r="L640" s="201"/>
      <c r="M640" s="201"/>
      <c r="N640" s="201"/>
      <c r="O640" s="201"/>
      <c r="P640" s="262"/>
      <c r="Q640" s="262"/>
    </row>
    <row r="641" spans="1:17">
      <c r="A641" s="201"/>
      <c r="B641" s="201"/>
      <c r="C641" s="201"/>
      <c r="D641" s="201"/>
      <c r="E641" s="201"/>
      <c r="F641" s="201"/>
      <c r="G641" s="201"/>
      <c r="H641" s="201"/>
      <c r="J641" s="201"/>
      <c r="K641" s="201"/>
      <c r="L641" s="201"/>
      <c r="M641" s="201"/>
      <c r="N641" s="201"/>
      <c r="O641" s="201"/>
      <c r="P641" s="262"/>
      <c r="Q641" s="262"/>
    </row>
    <row r="642" spans="1:17">
      <c r="A642" s="201"/>
      <c r="B642" s="201"/>
      <c r="C642" s="201"/>
      <c r="D642" s="201"/>
      <c r="E642" s="201"/>
      <c r="F642" s="201"/>
      <c r="G642" s="201"/>
      <c r="H642" s="201"/>
      <c r="J642" s="201"/>
      <c r="K642" s="201"/>
      <c r="L642" s="201"/>
      <c r="M642" s="201"/>
      <c r="N642" s="201"/>
      <c r="O642" s="201"/>
      <c r="P642" s="262"/>
      <c r="Q642" s="262"/>
    </row>
    <row r="643" spans="1:17">
      <c r="A643" s="201"/>
      <c r="B643" s="201"/>
      <c r="C643" s="201"/>
      <c r="D643" s="201"/>
      <c r="E643" s="201"/>
      <c r="F643" s="201"/>
      <c r="G643" s="201"/>
      <c r="H643" s="201"/>
      <c r="J643" s="201"/>
      <c r="K643" s="201"/>
      <c r="L643" s="201"/>
      <c r="M643" s="201"/>
      <c r="N643" s="201"/>
      <c r="O643" s="201"/>
      <c r="P643" s="262"/>
      <c r="Q643" s="262"/>
    </row>
    <row r="644" spans="1:17">
      <c r="A644" s="201"/>
      <c r="B644" s="201"/>
      <c r="C644" s="201"/>
      <c r="D644" s="201"/>
      <c r="E644" s="201"/>
      <c r="F644" s="201"/>
      <c r="G644" s="201"/>
      <c r="H644" s="201"/>
      <c r="J644" s="201"/>
      <c r="K644" s="201"/>
      <c r="L644" s="201"/>
      <c r="M644" s="201"/>
      <c r="N644" s="201"/>
      <c r="O644" s="201"/>
      <c r="P644" s="262"/>
      <c r="Q644" s="262"/>
    </row>
    <row r="645" spans="1:17">
      <c r="A645" s="201"/>
      <c r="B645" s="201"/>
      <c r="C645" s="201"/>
      <c r="D645" s="201"/>
      <c r="E645" s="201"/>
      <c r="F645" s="201"/>
      <c r="G645" s="201"/>
      <c r="H645" s="201"/>
      <c r="J645" s="201"/>
      <c r="K645" s="201"/>
      <c r="L645" s="201"/>
      <c r="M645" s="201"/>
      <c r="N645" s="201"/>
      <c r="O645" s="201"/>
      <c r="P645" s="262"/>
      <c r="Q645" s="262"/>
    </row>
    <row r="646" spans="1:17">
      <c r="A646" s="201"/>
      <c r="B646" s="201"/>
      <c r="C646" s="201"/>
      <c r="D646" s="201"/>
      <c r="E646" s="201"/>
      <c r="F646" s="201"/>
      <c r="G646" s="201"/>
      <c r="H646" s="201"/>
      <c r="J646" s="201"/>
      <c r="K646" s="201"/>
      <c r="L646" s="201"/>
      <c r="M646" s="201"/>
      <c r="N646" s="201"/>
      <c r="O646" s="201"/>
      <c r="P646" s="262"/>
      <c r="Q646" s="262"/>
    </row>
    <row r="647" spans="1:17">
      <c r="A647" s="201"/>
      <c r="B647" s="201"/>
      <c r="C647" s="201"/>
      <c r="D647" s="201"/>
      <c r="E647" s="201"/>
      <c r="F647" s="201"/>
      <c r="G647" s="201"/>
      <c r="H647" s="201"/>
      <c r="J647" s="201"/>
      <c r="K647" s="201"/>
      <c r="L647" s="201"/>
      <c r="M647" s="201"/>
      <c r="N647" s="201"/>
      <c r="O647" s="201"/>
      <c r="P647" s="262"/>
      <c r="Q647" s="262"/>
    </row>
    <row r="648" spans="1:17">
      <c r="A648" s="201"/>
      <c r="B648" s="201"/>
      <c r="C648" s="201"/>
      <c r="D648" s="201"/>
      <c r="E648" s="201"/>
      <c r="F648" s="201"/>
      <c r="G648" s="201"/>
      <c r="H648" s="201"/>
      <c r="J648" s="201"/>
      <c r="K648" s="201"/>
      <c r="L648" s="201"/>
      <c r="M648" s="201"/>
      <c r="N648" s="201"/>
      <c r="O648" s="201"/>
      <c r="P648" s="262"/>
      <c r="Q648" s="262"/>
    </row>
    <row r="649" spans="1:17">
      <c r="A649" s="201"/>
      <c r="B649" s="201"/>
      <c r="C649" s="201"/>
      <c r="D649" s="201"/>
      <c r="E649" s="201"/>
      <c r="F649" s="201"/>
      <c r="G649" s="201"/>
      <c r="H649" s="201"/>
      <c r="J649" s="201"/>
      <c r="K649" s="201"/>
      <c r="L649" s="201"/>
      <c r="M649" s="201"/>
      <c r="N649" s="201"/>
      <c r="O649" s="201"/>
      <c r="P649" s="262"/>
      <c r="Q649" s="262"/>
    </row>
    <row r="650" spans="1:17">
      <c r="A650" s="201"/>
      <c r="B650" s="201"/>
      <c r="C650" s="201"/>
      <c r="D650" s="201"/>
      <c r="E650" s="201"/>
      <c r="F650" s="201"/>
      <c r="G650" s="201"/>
      <c r="H650" s="201"/>
      <c r="J650" s="201"/>
      <c r="K650" s="201"/>
      <c r="L650" s="201"/>
      <c r="M650" s="201"/>
      <c r="N650" s="201"/>
      <c r="O650" s="201"/>
      <c r="P650" s="262"/>
      <c r="Q650" s="262"/>
    </row>
    <row r="651" spans="1:17">
      <c r="A651" s="201"/>
      <c r="B651" s="201"/>
      <c r="C651" s="201"/>
      <c r="D651" s="201"/>
      <c r="E651" s="201"/>
      <c r="F651" s="201"/>
      <c r="G651" s="201"/>
      <c r="H651" s="201"/>
      <c r="J651" s="201"/>
      <c r="K651" s="201"/>
      <c r="L651" s="201"/>
      <c r="M651" s="201"/>
      <c r="N651" s="201"/>
      <c r="O651" s="201"/>
      <c r="P651" s="262"/>
      <c r="Q651" s="262"/>
    </row>
    <row r="652" spans="1:17">
      <c r="A652" s="201"/>
      <c r="B652" s="201"/>
      <c r="C652" s="201"/>
      <c r="D652" s="201"/>
      <c r="E652" s="201"/>
      <c r="F652" s="201"/>
      <c r="G652" s="201"/>
      <c r="H652" s="201"/>
      <c r="J652" s="201"/>
      <c r="K652" s="201"/>
      <c r="L652" s="201"/>
      <c r="M652" s="201"/>
      <c r="N652" s="201"/>
      <c r="O652" s="201"/>
      <c r="P652" s="262"/>
      <c r="Q652" s="262"/>
    </row>
    <row r="653" spans="1:17">
      <c r="A653" s="201"/>
      <c r="B653" s="201"/>
      <c r="C653" s="201"/>
      <c r="D653" s="201"/>
      <c r="E653" s="201"/>
      <c r="F653" s="201"/>
      <c r="G653" s="201"/>
      <c r="H653" s="201"/>
      <c r="J653" s="201"/>
      <c r="K653" s="201"/>
      <c r="L653" s="201"/>
      <c r="M653" s="201"/>
      <c r="N653" s="201"/>
      <c r="O653" s="201"/>
      <c r="P653" s="262"/>
      <c r="Q653" s="262"/>
    </row>
    <row r="654" spans="1:17">
      <c r="A654" s="201"/>
      <c r="B654" s="201"/>
      <c r="C654" s="201"/>
      <c r="D654" s="201"/>
      <c r="E654" s="201"/>
      <c r="F654" s="201"/>
      <c r="G654" s="201"/>
      <c r="H654" s="201"/>
      <c r="J654" s="201"/>
      <c r="K654" s="201"/>
      <c r="L654" s="201"/>
      <c r="M654" s="201"/>
      <c r="N654" s="201"/>
      <c r="O654" s="201"/>
      <c r="P654" s="262"/>
      <c r="Q654" s="262"/>
    </row>
    <row r="655" spans="1:17">
      <c r="A655" s="201"/>
      <c r="B655" s="201"/>
      <c r="C655" s="201"/>
      <c r="D655" s="201"/>
      <c r="E655" s="201"/>
      <c r="F655" s="201"/>
      <c r="G655" s="201"/>
      <c r="H655" s="201"/>
      <c r="J655" s="201"/>
      <c r="K655" s="201"/>
      <c r="L655" s="201"/>
      <c r="M655" s="201"/>
      <c r="N655" s="201"/>
      <c r="O655" s="201"/>
      <c r="P655" s="262"/>
      <c r="Q655" s="262"/>
    </row>
    <row r="656" spans="1:17">
      <c r="A656" s="201"/>
      <c r="B656" s="201"/>
      <c r="C656" s="201"/>
      <c r="D656" s="201"/>
      <c r="E656" s="201"/>
      <c r="F656" s="201"/>
      <c r="G656" s="201"/>
      <c r="H656" s="201"/>
      <c r="J656" s="201"/>
      <c r="K656" s="201"/>
      <c r="L656" s="201"/>
      <c r="M656" s="201"/>
      <c r="N656" s="201"/>
      <c r="O656" s="201"/>
      <c r="P656" s="262"/>
      <c r="Q656" s="262"/>
    </row>
    <row r="657" spans="1:17">
      <c r="A657" s="201"/>
      <c r="B657" s="201"/>
      <c r="C657" s="201"/>
      <c r="D657" s="201"/>
      <c r="E657" s="201"/>
      <c r="F657" s="201"/>
      <c r="G657" s="201"/>
      <c r="H657" s="201"/>
      <c r="J657" s="201"/>
      <c r="K657" s="201"/>
      <c r="L657" s="201"/>
      <c r="M657" s="201"/>
      <c r="N657" s="201"/>
      <c r="O657" s="201"/>
      <c r="P657" s="262"/>
      <c r="Q657" s="262"/>
    </row>
    <row r="658" spans="1:17">
      <c r="A658" s="201"/>
      <c r="B658" s="201"/>
      <c r="C658" s="201"/>
      <c r="D658" s="201"/>
      <c r="E658" s="201"/>
      <c r="F658" s="201"/>
      <c r="G658" s="201"/>
      <c r="H658" s="201"/>
      <c r="J658" s="201"/>
      <c r="K658" s="201"/>
      <c r="L658" s="201"/>
      <c r="M658" s="201"/>
      <c r="N658" s="201"/>
      <c r="O658" s="201"/>
      <c r="P658" s="262"/>
      <c r="Q658" s="262"/>
    </row>
    <row r="659" spans="1:17">
      <c r="A659" s="201"/>
      <c r="B659" s="201"/>
      <c r="C659" s="201"/>
      <c r="D659" s="201"/>
      <c r="E659" s="201"/>
      <c r="F659" s="201"/>
      <c r="G659" s="201"/>
      <c r="H659" s="201"/>
      <c r="J659" s="201"/>
      <c r="K659" s="201"/>
      <c r="L659" s="201"/>
      <c r="M659" s="201"/>
      <c r="N659" s="201"/>
      <c r="O659" s="201"/>
      <c r="P659" s="262"/>
      <c r="Q659" s="262"/>
    </row>
    <row r="660" spans="1:17">
      <c r="A660" s="201"/>
      <c r="B660" s="201"/>
      <c r="C660" s="201"/>
      <c r="D660" s="201"/>
      <c r="E660" s="201"/>
      <c r="F660" s="201"/>
      <c r="G660" s="201"/>
      <c r="H660" s="201"/>
      <c r="J660" s="201"/>
      <c r="K660" s="201"/>
      <c r="L660" s="201"/>
      <c r="M660" s="201"/>
      <c r="N660" s="201"/>
      <c r="O660" s="201"/>
      <c r="P660" s="262"/>
      <c r="Q660" s="262"/>
    </row>
    <row r="661" spans="1:17">
      <c r="A661" s="201"/>
      <c r="B661" s="201"/>
      <c r="C661" s="201"/>
      <c r="D661" s="201"/>
      <c r="E661" s="201"/>
      <c r="F661" s="201"/>
      <c r="G661" s="201"/>
      <c r="H661" s="201"/>
      <c r="J661" s="201"/>
      <c r="K661" s="201"/>
      <c r="L661" s="201"/>
      <c r="M661" s="201"/>
      <c r="N661" s="201"/>
      <c r="O661" s="201"/>
      <c r="P661" s="262"/>
      <c r="Q661" s="262"/>
    </row>
    <row r="662" spans="1:17">
      <c r="A662" s="201"/>
      <c r="B662" s="201"/>
      <c r="C662" s="201"/>
      <c r="D662" s="201"/>
      <c r="E662" s="201"/>
      <c r="F662" s="201"/>
      <c r="G662" s="201"/>
      <c r="H662" s="201"/>
      <c r="J662" s="201"/>
      <c r="K662" s="201"/>
      <c r="L662" s="201"/>
      <c r="M662" s="201"/>
      <c r="N662" s="201"/>
      <c r="O662" s="201"/>
      <c r="P662" s="262"/>
      <c r="Q662" s="262"/>
    </row>
    <row r="663" spans="1:17">
      <c r="A663" s="201"/>
      <c r="B663" s="201"/>
      <c r="C663" s="201"/>
      <c r="D663" s="201"/>
      <c r="E663" s="201"/>
      <c r="F663" s="201"/>
      <c r="G663" s="201"/>
      <c r="H663" s="201"/>
      <c r="J663" s="201"/>
      <c r="K663" s="201"/>
      <c r="L663" s="201"/>
      <c r="M663" s="201"/>
      <c r="N663" s="201"/>
      <c r="O663" s="201"/>
      <c r="P663" s="262"/>
      <c r="Q663" s="262"/>
    </row>
    <row r="664" spans="1:17">
      <c r="A664" s="201"/>
      <c r="B664" s="201"/>
      <c r="C664" s="201"/>
      <c r="D664" s="201"/>
      <c r="E664" s="201"/>
      <c r="F664" s="201"/>
      <c r="G664" s="201"/>
      <c r="H664" s="201"/>
      <c r="J664" s="201"/>
      <c r="K664" s="201"/>
      <c r="L664" s="201"/>
      <c r="M664" s="201"/>
      <c r="N664" s="201"/>
      <c r="O664" s="201"/>
      <c r="P664" s="262"/>
      <c r="Q664" s="262"/>
    </row>
    <row r="665" spans="1:17">
      <c r="A665" s="201"/>
      <c r="B665" s="201"/>
      <c r="C665" s="201"/>
      <c r="D665" s="201"/>
      <c r="E665" s="201"/>
      <c r="F665" s="201"/>
      <c r="G665" s="201"/>
      <c r="H665" s="201"/>
      <c r="J665" s="201"/>
      <c r="K665" s="201"/>
      <c r="L665" s="201"/>
      <c r="M665" s="201"/>
      <c r="N665" s="201"/>
      <c r="O665" s="201"/>
      <c r="P665" s="262"/>
      <c r="Q665" s="262"/>
    </row>
    <row r="666" spans="1:17">
      <c r="A666" s="201"/>
      <c r="B666" s="201"/>
      <c r="C666" s="201"/>
      <c r="D666" s="201"/>
      <c r="E666" s="201"/>
      <c r="F666" s="201"/>
      <c r="G666" s="201"/>
      <c r="H666" s="201"/>
      <c r="J666" s="201"/>
      <c r="K666" s="201"/>
      <c r="L666" s="201"/>
      <c r="M666" s="201"/>
      <c r="N666" s="201"/>
      <c r="O666" s="201"/>
      <c r="P666" s="262"/>
      <c r="Q666" s="262"/>
    </row>
    <row r="667" spans="1:17">
      <c r="A667" s="201"/>
      <c r="B667" s="201"/>
      <c r="C667" s="201"/>
      <c r="D667" s="201"/>
      <c r="E667" s="201"/>
      <c r="F667" s="201"/>
      <c r="G667" s="201"/>
      <c r="H667" s="201"/>
      <c r="J667" s="201"/>
      <c r="K667" s="201"/>
      <c r="L667" s="201"/>
      <c r="M667" s="201"/>
      <c r="N667" s="201"/>
      <c r="O667" s="201"/>
      <c r="P667" s="262"/>
      <c r="Q667" s="262"/>
    </row>
    <row r="668" spans="1:17">
      <c r="A668" s="201"/>
      <c r="B668" s="201"/>
      <c r="C668" s="201"/>
      <c r="D668" s="201"/>
      <c r="E668" s="201"/>
      <c r="F668" s="201"/>
      <c r="G668" s="201"/>
      <c r="H668" s="201"/>
      <c r="J668" s="201"/>
      <c r="K668" s="201"/>
      <c r="L668" s="201"/>
      <c r="M668" s="201"/>
      <c r="N668" s="201"/>
      <c r="O668" s="201"/>
      <c r="P668" s="262"/>
      <c r="Q668" s="262"/>
    </row>
    <row r="669" spans="1:17">
      <c r="A669" s="201"/>
      <c r="B669" s="201"/>
      <c r="C669" s="201"/>
      <c r="D669" s="201"/>
      <c r="E669" s="201"/>
      <c r="F669" s="201"/>
      <c r="G669" s="201"/>
      <c r="H669" s="201"/>
      <c r="J669" s="201"/>
      <c r="K669" s="201"/>
      <c r="L669" s="201"/>
      <c r="M669" s="201"/>
      <c r="N669" s="201"/>
      <c r="O669" s="201"/>
      <c r="P669" s="262"/>
      <c r="Q669" s="262"/>
    </row>
    <row r="670" spans="1:17">
      <c r="A670" s="201"/>
      <c r="B670" s="201"/>
      <c r="C670" s="201"/>
      <c r="D670" s="201"/>
      <c r="E670" s="201"/>
      <c r="F670" s="201"/>
      <c r="G670" s="201"/>
      <c r="H670" s="201"/>
      <c r="J670" s="201"/>
      <c r="K670" s="201"/>
      <c r="L670" s="201"/>
      <c r="M670" s="201"/>
      <c r="N670" s="201"/>
      <c r="O670" s="201"/>
      <c r="P670" s="262"/>
      <c r="Q670" s="262"/>
    </row>
    <row r="671" spans="1:17">
      <c r="A671" s="201"/>
      <c r="B671" s="201"/>
      <c r="C671" s="201"/>
      <c r="D671" s="201"/>
      <c r="E671" s="201"/>
      <c r="F671" s="201"/>
      <c r="G671" s="201"/>
      <c r="H671" s="201"/>
      <c r="J671" s="201"/>
      <c r="K671" s="201"/>
      <c r="L671" s="201"/>
      <c r="M671" s="201"/>
      <c r="N671" s="201"/>
      <c r="O671" s="201"/>
      <c r="P671" s="262"/>
      <c r="Q671" s="262"/>
    </row>
    <row r="672" spans="1:17">
      <c r="A672" s="201"/>
      <c r="B672" s="201"/>
      <c r="C672" s="201"/>
      <c r="D672" s="201"/>
      <c r="E672" s="201"/>
      <c r="F672" s="201"/>
      <c r="G672" s="201"/>
      <c r="H672" s="201"/>
      <c r="J672" s="201"/>
      <c r="K672" s="201"/>
      <c r="L672" s="201"/>
      <c r="M672" s="201"/>
      <c r="N672" s="201"/>
      <c r="O672" s="201"/>
      <c r="P672" s="262"/>
      <c r="Q672" s="262"/>
    </row>
    <row r="673" spans="1:17">
      <c r="A673" s="201"/>
      <c r="B673" s="201"/>
      <c r="C673" s="201"/>
      <c r="D673" s="201"/>
      <c r="E673" s="201"/>
      <c r="F673" s="201"/>
      <c r="G673" s="201"/>
      <c r="H673" s="201"/>
      <c r="J673" s="201"/>
      <c r="K673" s="201"/>
      <c r="L673" s="201"/>
      <c r="M673" s="201"/>
      <c r="N673" s="201"/>
      <c r="O673" s="201"/>
      <c r="P673" s="262"/>
      <c r="Q673" s="262"/>
    </row>
    <row r="674" spans="1:17">
      <c r="A674" s="201"/>
      <c r="B674" s="201"/>
      <c r="C674" s="201"/>
      <c r="D674" s="201"/>
      <c r="E674" s="201"/>
      <c r="F674" s="201"/>
      <c r="G674" s="201"/>
      <c r="H674" s="201"/>
      <c r="J674" s="201"/>
      <c r="K674" s="201"/>
      <c r="L674" s="201"/>
      <c r="M674" s="201"/>
      <c r="N674" s="201"/>
      <c r="O674" s="201"/>
      <c r="P674" s="262"/>
      <c r="Q674" s="262"/>
    </row>
    <row r="675" spans="1:17">
      <c r="A675" s="201"/>
      <c r="B675" s="201"/>
      <c r="C675" s="201"/>
      <c r="D675" s="201"/>
      <c r="E675" s="201"/>
      <c r="F675" s="201"/>
      <c r="G675" s="201"/>
      <c r="H675" s="201"/>
      <c r="J675" s="201"/>
      <c r="K675" s="201"/>
      <c r="L675" s="201"/>
      <c r="M675" s="201"/>
      <c r="N675" s="201"/>
      <c r="O675" s="201"/>
      <c r="P675" s="262"/>
      <c r="Q675" s="262"/>
    </row>
    <row r="676" spans="1:17">
      <c r="A676" s="201"/>
      <c r="B676" s="201"/>
      <c r="C676" s="201"/>
      <c r="D676" s="201"/>
      <c r="E676" s="201"/>
      <c r="F676" s="201"/>
      <c r="G676" s="201"/>
      <c r="H676" s="201"/>
      <c r="J676" s="201"/>
      <c r="K676" s="201"/>
      <c r="L676" s="201"/>
      <c r="M676" s="201"/>
      <c r="N676" s="201"/>
      <c r="O676" s="201"/>
      <c r="P676" s="262"/>
      <c r="Q676" s="262"/>
    </row>
    <row r="677" spans="1:17">
      <c r="A677" s="201"/>
      <c r="B677" s="201"/>
      <c r="C677" s="201"/>
      <c r="D677" s="201"/>
      <c r="E677" s="201"/>
      <c r="F677" s="201"/>
      <c r="G677" s="201"/>
      <c r="H677" s="201"/>
      <c r="J677" s="201"/>
      <c r="K677" s="201"/>
      <c r="L677" s="201"/>
      <c r="M677" s="201"/>
      <c r="N677" s="201"/>
      <c r="O677" s="201"/>
      <c r="P677" s="262"/>
      <c r="Q677" s="262"/>
    </row>
    <row r="678" spans="1:17">
      <c r="A678" s="201"/>
      <c r="B678" s="201"/>
      <c r="C678" s="201"/>
      <c r="D678" s="201"/>
      <c r="E678" s="201"/>
      <c r="F678" s="201"/>
      <c r="G678" s="201"/>
      <c r="H678" s="201"/>
      <c r="J678" s="201"/>
      <c r="K678" s="201"/>
      <c r="L678" s="201"/>
      <c r="M678" s="201"/>
      <c r="N678" s="201"/>
      <c r="O678" s="201"/>
      <c r="P678" s="262"/>
      <c r="Q678" s="262"/>
    </row>
    <row r="679" spans="1:17">
      <c r="A679" s="201"/>
      <c r="B679" s="201"/>
      <c r="C679" s="201"/>
      <c r="D679" s="201"/>
      <c r="E679" s="201"/>
      <c r="F679" s="201"/>
      <c r="G679" s="201"/>
      <c r="H679" s="201"/>
      <c r="J679" s="201"/>
      <c r="K679" s="201"/>
      <c r="L679" s="201"/>
      <c r="M679" s="201"/>
      <c r="N679" s="201"/>
      <c r="O679" s="201"/>
      <c r="P679" s="262"/>
      <c r="Q679" s="262"/>
    </row>
    <row r="680" spans="1:17">
      <c r="A680" s="201"/>
      <c r="B680" s="201"/>
      <c r="C680" s="201"/>
      <c r="D680" s="201"/>
      <c r="E680" s="201"/>
      <c r="F680" s="201"/>
      <c r="G680" s="201"/>
      <c r="H680" s="201"/>
      <c r="J680" s="201"/>
      <c r="K680" s="201"/>
      <c r="L680" s="201"/>
      <c r="M680" s="201"/>
      <c r="N680" s="201"/>
      <c r="O680" s="201"/>
      <c r="P680" s="262"/>
      <c r="Q680" s="262"/>
    </row>
    <row r="681" spans="1:17">
      <c r="A681" s="201"/>
      <c r="B681" s="201"/>
      <c r="C681" s="201"/>
      <c r="D681" s="201"/>
      <c r="E681" s="201"/>
      <c r="F681" s="201"/>
      <c r="G681" s="201"/>
      <c r="H681" s="201"/>
      <c r="J681" s="201"/>
      <c r="K681" s="201"/>
      <c r="L681" s="201"/>
      <c r="M681" s="201"/>
      <c r="N681" s="201"/>
      <c r="O681" s="201"/>
      <c r="P681" s="262"/>
      <c r="Q681" s="262"/>
    </row>
    <row r="682" spans="1:17">
      <c r="A682" s="201"/>
      <c r="B682" s="201"/>
      <c r="C682" s="201"/>
      <c r="D682" s="201"/>
      <c r="E682" s="201"/>
      <c r="F682" s="201"/>
      <c r="G682" s="201"/>
      <c r="H682" s="201"/>
      <c r="J682" s="201"/>
      <c r="K682" s="201"/>
      <c r="L682" s="201"/>
      <c r="M682" s="201"/>
      <c r="N682" s="201"/>
      <c r="O682" s="201"/>
      <c r="P682" s="262"/>
      <c r="Q682" s="262"/>
    </row>
    <row r="683" spans="1:17">
      <c r="A683" s="201"/>
      <c r="B683" s="201"/>
      <c r="C683" s="201"/>
      <c r="D683" s="201"/>
      <c r="E683" s="201"/>
      <c r="F683" s="201"/>
      <c r="G683" s="201"/>
      <c r="H683" s="201"/>
      <c r="J683" s="201"/>
      <c r="K683" s="201"/>
      <c r="L683" s="201"/>
      <c r="M683" s="201"/>
      <c r="N683" s="201"/>
      <c r="O683" s="201"/>
      <c r="P683" s="262"/>
      <c r="Q683" s="262"/>
    </row>
    <row r="684" spans="1:17">
      <c r="A684" s="201"/>
      <c r="B684" s="201"/>
      <c r="C684" s="201"/>
      <c r="D684" s="201"/>
      <c r="E684" s="201"/>
      <c r="F684" s="201"/>
      <c r="G684" s="201"/>
      <c r="H684" s="201"/>
      <c r="J684" s="201"/>
      <c r="K684" s="201"/>
      <c r="L684" s="201"/>
      <c r="M684" s="201"/>
      <c r="N684" s="201"/>
      <c r="O684" s="201"/>
      <c r="P684" s="262"/>
      <c r="Q684" s="262"/>
    </row>
    <row r="685" spans="1:17">
      <c r="A685" s="201"/>
      <c r="B685" s="201"/>
      <c r="C685" s="201"/>
      <c r="D685" s="201"/>
      <c r="E685" s="201"/>
      <c r="F685" s="201"/>
      <c r="G685" s="201"/>
      <c r="H685" s="201"/>
      <c r="J685" s="201"/>
      <c r="K685" s="201"/>
      <c r="L685" s="201"/>
      <c r="M685" s="201"/>
      <c r="N685" s="201"/>
      <c r="O685" s="201"/>
      <c r="P685" s="262"/>
      <c r="Q685" s="262"/>
    </row>
    <row r="686" spans="1:17">
      <c r="A686" s="201"/>
      <c r="B686" s="201"/>
      <c r="C686" s="201"/>
      <c r="D686" s="201"/>
      <c r="E686" s="201"/>
      <c r="F686" s="201"/>
      <c r="G686" s="201"/>
      <c r="H686" s="201"/>
      <c r="J686" s="201"/>
      <c r="K686" s="201"/>
      <c r="L686" s="201"/>
      <c r="M686" s="201"/>
      <c r="N686" s="201"/>
      <c r="O686" s="201"/>
      <c r="P686" s="262"/>
      <c r="Q686" s="262"/>
    </row>
    <row r="687" spans="1:17">
      <c r="A687" s="201"/>
      <c r="B687" s="201"/>
      <c r="C687" s="201"/>
      <c r="D687" s="201"/>
      <c r="E687" s="201"/>
      <c r="F687" s="201"/>
      <c r="G687" s="201"/>
      <c r="H687" s="201"/>
      <c r="J687" s="201"/>
      <c r="K687" s="201"/>
      <c r="L687" s="201"/>
      <c r="M687" s="201"/>
      <c r="N687" s="201"/>
      <c r="O687" s="201"/>
      <c r="P687" s="262"/>
      <c r="Q687" s="262"/>
    </row>
    <row r="688" spans="1:17">
      <c r="A688" s="201"/>
      <c r="B688" s="201"/>
      <c r="C688" s="201"/>
      <c r="D688" s="201"/>
      <c r="E688" s="201"/>
      <c r="F688" s="201"/>
      <c r="G688" s="201"/>
      <c r="H688" s="201"/>
      <c r="J688" s="201"/>
      <c r="K688" s="201"/>
      <c r="L688" s="201"/>
      <c r="M688" s="201"/>
      <c r="N688" s="201"/>
      <c r="O688" s="201"/>
      <c r="P688" s="262"/>
      <c r="Q688" s="262"/>
    </row>
    <row r="689" spans="1:17">
      <c r="A689" s="201"/>
      <c r="B689" s="201"/>
      <c r="C689" s="201"/>
      <c r="D689" s="201"/>
      <c r="E689" s="201"/>
      <c r="F689" s="201"/>
      <c r="G689" s="201"/>
      <c r="H689" s="201"/>
      <c r="J689" s="201"/>
      <c r="K689" s="201"/>
      <c r="L689" s="201"/>
      <c r="M689" s="201"/>
      <c r="N689" s="201"/>
      <c r="O689" s="201"/>
      <c r="P689" s="262"/>
      <c r="Q689" s="262"/>
    </row>
    <row r="690" spans="1:17">
      <c r="A690" s="201"/>
      <c r="B690" s="201"/>
      <c r="C690" s="201"/>
      <c r="D690" s="201"/>
      <c r="E690" s="201"/>
      <c r="F690" s="201"/>
      <c r="G690" s="201"/>
      <c r="H690" s="201"/>
      <c r="J690" s="201"/>
      <c r="K690" s="201"/>
      <c r="L690" s="201"/>
      <c r="M690" s="201"/>
      <c r="N690" s="201"/>
      <c r="O690" s="201"/>
      <c r="P690" s="262"/>
      <c r="Q690" s="262"/>
    </row>
    <row r="691" spans="1:17">
      <c r="A691" s="201"/>
      <c r="B691" s="201"/>
      <c r="C691" s="201"/>
      <c r="D691" s="201"/>
      <c r="E691" s="201"/>
      <c r="F691" s="201"/>
      <c r="G691" s="201"/>
      <c r="H691" s="201"/>
      <c r="J691" s="201"/>
      <c r="K691" s="201"/>
      <c r="L691" s="201"/>
      <c r="M691" s="201"/>
      <c r="N691" s="201"/>
      <c r="O691" s="201"/>
      <c r="P691" s="262"/>
      <c r="Q691" s="262"/>
    </row>
    <row r="692" spans="1:17">
      <c r="A692" s="201"/>
      <c r="B692" s="201"/>
      <c r="C692" s="201"/>
      <c r="D692" s="201"/>
      <c r="E692" s="201"/>
      <c r="F692" s="201"/>
      <c r="G692" s="201"/>
      <c r="H692" s="201"/>
      <c r="J692" s="201"/>
      <c r="K692" s="201"/>
      <c r="L692" s="201"/>
      <c r="M692" s="201"/>
      <c r="N692" s="201"/>
      <c r="O692" s="201"/>
      <c r="P692" s="262"/>
      <c r="Q692" s="262"/>
    </row>
    <row r="693" spans="1:17">
      <c r="A693" s="201"/>
      <c r="B693" s="201"/>
      <c r="C693" s="201"/>
      <c r="D693" s="201"/>
      <c r="E693" s="201"/>
      <c r="F693" s="201"/>
      <c r="G693" s="201"/>
      <c r="H693" s="201"/>
      <c r="J693" s="201"/>
      <c r="K693" s="201"/>
      <c r="L693" s="201"/>
      <c r="M693" s="201"/>
      <c r="N693" s="201"/>
      <c r="O693" s="201"/>
      <c r="P693" s="262"/>
      <c r="Q693" s="262"/>
    </row>
    <row r="694" spans="1:17">
      <c r="A694" s="201"/>
      <c r="B694" s="201"/>
      <c r="C694" s="201"/>
      <c r="D694" s="201"/>
      <c r="E694" s="201"/>
      <c r="F694" s="201"/>
      <c r="G694" s="201"/>
      <c r="H694" s="201"/>
      <c r="J694" s="201"/>
      <c r="K694" s="201"/>
      <c r="L694" s="201"/>
      <c r="M694" s="201"/>
      <c r="N694" s="201"/>
      <c r="O694" s="201"/>
      <c r="P694" s="262"/>
      <c r="Q694" s="262"/>
    </row>
    <row r="695" spans="1:17">
      <c r="A695" s="201"/>
      <c r="B695" s="201"/>
      <c r="C695" s="201"/>
      <c r="D695" s="201"/>
      <c r="E695" s="201"/>
      <c r="F695" s="201"/>
      <c r="G695" s="201"/>
      <c r="H695" s="201"/>
      <c r="J695" s="201"/>
      <c r="K695" s="201"/>
      <c r="L695" s="201"/>
      <c r="M695" s="201"/>
      <c r="N695" s="201"/>
      <c r="O695" s="201"/>
      <c r="P695" s="262"/>
      <c r="Q695" s="262"/>
    </row>
    <row r="696" spans="1:17">
      <c r="A696" s="201"/>
      <c r="B696" s="201"/>
      <c r="C696" s="201"/>
      <c r="D696" s="201"/>
      <c r="E696" s="201"/>
      <c r="F696" s="201"/>
      <c r="G696" s="201"/>
      <c r="H696" s="201"/>
      <c r="J696" s="201"/>
      <c r="K696" s="201"/>
      <c r="L696" s="201"/>
      <c r="M696" s="201"/>
      <c r="N696" s="201"/>
      <c r="O696" s="201"/>
      <c r="P696" s="262"/>
      <c r="Q696" s="262"/>
    </row>
    <row r="697" spans="1:17">
      <c r="A697" s="201"/>
      <c r="B697" s="201"/>
      <c r="C697" s="201"/>
      <c r="D697" s="201"/>
      <c r="E697" s="201"/>
      <c r="F697" s="201"/>
      <c r="G697" s="201"/>
      <c r="H697" s="201"/>
      <c r="J697" s="201"/>
      <c r="K697" s="201"/>
      <c r="L697" s="201"/>
      <c r="M697" s="201"/>
      <c r="N697" s="201"/>
      <c r="O697" s="201"/>
      <c r="P697" s="262"/>
      <c r="Q697" s="262"/>
    </row>
    <row r="698" spans="1:17">
      <c r="A698" s="201"/>
      <c r="B698" s="201"/>
      <c r="C698" s="201"/>
      <c r="D698" s="201"/>
      <c r="E698" s="201"/>
      <c r="F698" s="201"/>
      <c r="G698" s="201"/>
      <c r="H698" s="201"/>
      <c r="J698" s="201"/>
      <c r="K698" s="201"/>
      <c r="L698" s="201"/>
      <c r="M698" s="201"/>
      <c r="N698" s="201"/>
      <c r="O698" s="201"/>
      <c r="P698" s="262"/>
      <c r="Q698" s="262"/>
    </row>
    <row r="699" spans="1:17">
      <c r="A699" s="201"/>
      <c r="B699" s="201"/>
      <c r="C699" s="201"/>
      <c r="D699" s="201"/>
      <c r="E699" s="201"/>
      <c r="F699" s="201"/>
      <c r="G699" s="201"/>
      <c r="H699" s="201"/>
      <c r="J699" s="201"/>
      <c r="K699" s="201"/>
      <c r="L699" s="201"/>
      <c r="M699" s="201"/>
      <c r="N699" s="201"/>
      <c r="O699" s="201"/>
      <c r="P699" s="262"/>
      <c r="Q699" s="262"/>
    </row>
    <row r="700" spans="1:17">
      <c r="A700" s="201"/>
      <c r="B700" s="201"/>
      <c r="C700" s="201"/>
      <c r="D700" s="201"/>
      <c r="E700" s="201"/>
      <c r="F700" s="201"/>
      <c r="G700" s="201"/>
      <c r="H700" s="201"/>
      <c r="J700" s="201"/>
      <c r="K700" s="201"/>
      <c r="L700" s="201"/>
      <c r="M700" s="201"/>
      <c r="N700" s="201"/>
      <c r="O700" s="201"/>
      <c r="P700" s="262"/>
      <c r="Q700" s="262"/>
    </row>
    <row r="701" spans="1:17">
      <c r="A701" s="201"/>
      <c r="B701" s="201"/>
      <c r="C701" s="201"/>
      <c r="D701" s="201"/>
      <c r="E701" s="201"/>
      <c r="F701" s="201"/>
      <c r="G701" s="201"/>
      <c r="H701" s="201"/>
      <c r="J701" s="201"/>
      <c r="K701" s="201"/>
      <c r="L701" s="201"/>
      <c r="M701" s="201"/>
      <c r="N701" s="201"/>
      <c r="O701" s="201"/>
      <c r="P701" s="262"/>
      <c r="Q701" s="262"/>
    </row>
    <row r="702" spans="1:17">
      <c r="A702" s="201"/>
      <c r="B702" s="201"/>
      <c r="C702" s="201"/>
      <c r="D702" s="201"/>
      <c r="E702" s="201"/>
      <c r="F702" s="201"/>
      <c r="G702" s="201"/>
      <c r="H702" s="201"/>
      <c r="J702" s="201"/>
      <c r="K702" s="201"/>
      <c r="L702" s="201"/>
      <c r="M702" s="201"/>
      <c r="N702" s="201"/>
      <c r="O702" s="201"/>
      <c r="P702" s="262"/>
      <c r="Q702" s="262"/>
    </row>
    <row r="703" spans="1:17">
      <c r="A703" s="201"/>
      <c r="B703" s="201"/>
      <c r="C703" s="201"/>
      <c r="D703" s="201"/>
      <c r="E703" s="201"/>
      <c r="F703" s="201"/>
      <c r="G703" s="201"/>
      <c r="H703" s="201"/>
      <c r="J703" s="201"/>
      <c r="K703" s="201"/>
      <c r="L703" s="201"/>
      <c r="M703" s="201"/>
      <c r="N703" s="201"/>
      <c r="O703" s="201"/>
      <c r="P703" s="262"/>
      <c r="Q703" s="262"/>
    </row>
    <row r="704" spans="1:17">
      <c r="A704" s="201"/>
      <c r="B704" s="201"/>
      <c r="C704" s="201"/>
      <c r="D704" s="201"/>
      <c r="E704" s="201"/>
      <c r="F704" s="201"/>
      <c r="G704" s="201"/>
      <c r="H704" s="201"/>
      <c r="J704" s="201"/>
      <c r="K704" s="201"/>
      <c r="L704" s="201"/>
      <c r="M704" s="201"/>
      <c r="N704" s="201"/>
      <c r="O704" s="201"/>
      <c r="P704" s="262"/>
      <c r="Q704" s="262"/>
    </row>
    <row r="705" spans="1:17">
      <c r="A705" s="201"/>
      <c r="B705" s="201"/>
      <c r="C705" s="201"/>
      <c r="D705" s="201"/>
      <c r="E705" s="201"/>
      <c r="F705" s="201"/>
      <c r="G705" s="201"/>
      <c r="H705" s="201"/>
      <c r="J705" s="201"/>
      <c r="K705" s="201"/>
      <c r="L705" s="201"/>
      <c r="M705" s="201"/>
      <c r="N705" s="201"/>
      <c r="O705" s="201"/>
      <c r="P705" s="262"/>
      <c r="Q705" s="262"/>
    </row>
    <row r="706" spans="1:17">
      <c r="A706" s="201"/>
      <c r="B706" s="201"/>
      <c r="C706" s="201"/>
      <c r="D706" s="201"/>
      <c r="E706" s="201"/>
      <c r="F706" s="201"/>
      <c r="G706" s="201"/>
      <c r="H706" s="201"/>
      <c r="J706" s="201"/>
      <c r="K706" s="201"/>
      <c r="L706" s="201"/>
      <c r="M706" s="201"/>
      <c r="N706" s="201"/>
      <c r="O706" s="201"/>
      <c r="P706" s="262"/>
      <c r="Q706" s="262"/>
    </row>
    <row r="707" spans="1:17">
      <c r="A707" s="201"/>
      <c r="B707" s="201"/>
      <c r="C707" s="201"/>
      <c r="D707" s="201"/>
      <c r="E707" s="201"/>
      <c r="F707" s="201"/>
      <c r="G707" s="201"/>
      <c r="H707" s="201"/>
      <c r="J707" s="201"/>
      <c r="K707" s="201"/>
      <c r="L707" s="201"/>
      <c r="M707" s="201"/>
      <c r="N707" s="201"/>
      <c r="O707" s="201"/>
      <c r="P707" s="262"/>
      <c r="Q707" s="262"/>
    </row>
    <row r="708" spans="1:17">
      <c r="A708" s="201"/>
      <c r="B708" s="201"/>
      <c r="C708" s="201"/>
      <c r="D708" s="201"/>
      <c r="E708" s="201"/>
      <c r="F708" s="201"/>
      <c r="G708" s="201"/>
      <c r="H708" s="201"/>
      <c r="J708" s="201"/>
      <c r="K708" s="201"/>
      <c r="L708" s="201"/>
      <c r="M708" s="201"/>
      <c r="N708" s="201"/>
      <c r="O708" s="201"/>
      <c r="P708" s="262"/>
      <c r="Q708" s="262"/>
    </row>
    <row r="709" spans="1:17">
      <c r="A709" s="201"/>
      <c r="B709" s="201"/>
      <c r="C709" s="201"/>
      <c r="D709" s="201"/>
      <c r="E709" s="201"/>
      <c r="F709" s="201"/>
      <c r="G709" s="201"/>
      <c r="H709" s="201"/>
      <c r="J709" s="201"/>
      <c r="K709" s="201"/>
      <c r="L709" s="201"/>
      <c r="M709" s="201"/>
      <c r="N709" s="201"/>
      <c r="O709" s="201"/>
      <c r="P709" s="262"/>
      <c r="Q709" s="262"/>
    </row>
    <row r="710" spans="1:17">
      <c r="A710" s="201"/>
      <c r="B710" s="201"/>
      <c r="C710" s="201"/>
      <c r="D710" s="201"/>
      <c r="E710" s="201"/>
      <c r="F710" s="201"/>
      <c r="G710" s="201"/>
      <c r="H710" s="201"/>
      <c r="J710" s="201"/>
      <c r="K710" s="201"/>
      <c r="L710" s="201"/>
      <c r="M710" s="201"/>
      <c r="N710" s="201"/>
      <c r="O710" s="201"/>
      <c r="P710" s="262"/>
      <c r="Q710" s="262"/>
    </row>
    <row r="711" spans="1:17">
      <c r="A711" s="201"/>
      <c r="B711" s="201"/>
      <c r="C711" s="201"/>
      <c r="D711" s="201"/>
      <c r="E711" s="201"/>
      <c r="F711" s="201"/>
      <c r="G711" s="201"/>
      <c r="H711" s="201"/>
      <c r="J711" s="201"/>
      <c r="K711" s="201"/>
      <c r="L711" s="201"/>
      <c r="M711" s="201"/>
      <c r="N711" s="201"/>
      <c r="O711" s="201"/>
      <c r="P711" s="262"/>
      <c r="Q711" s="262"/>
    </row>
    <row r="712" spans="1:17">
      <c r="A712" s="201"/>
      <c r="B712" s="201"/>
      <c r="C712" s="201"/>
      <c r="D712" s="201"/>
      <c r="E712" s="201"/>
      <c r="F712" s="201"/>
      <c r="G712" s="201"/>
      <c r="H712" s="201"/>
      <c r="J712" s="201"/>
      <c r="K712" s="201"/>
      <c r="L712" s="201"/>
      <c r="M712" s="201"/>
      <c r="N712" s="201"/>
      <c r="O712" s="201"/>
      <c r="P712" s="262"/>
      <c r="Q712" s="262"/>
    </row>
    <row r="713" spans="1:17">
      <c r="A713" s="201"/>
      <c r="B713" s="201"/>
      <c r="C713" s="201"/>
      <c r="D713" s="201"/>
      <c r="E713" s="201"/>
      <c r="F713" s="201"/>
      <c r="G713" s="201"/>
      <c r="H713" s="201"/>
      <c r="J713" s="201"/>
      <c r="K713" s="201"/>
      <c r="L713" s="201"/>
      <c r="M713" s="201"/>
      <c r="N713" s="201"/>
      <c r="O713" s="201"/>
      <c r="P713" s="262"/>
      <c r="Q713" s="262"/>
    </row>
    <row r="714" spans="1:17">
      <c r="A714" s="201"/>
      <c r="B714" s="201"/>
      <c r="C714" s="201"/>
      <c r="D714" s="201"/>
      <c r="E714" s="201"/>
      <c r="F714" s="201"/>
      <c r="G714" s="201"/>
      <c r="H714" s="201"/>
      <c r="J714" s="201"/>
      <c r="K714" s="201"/>
      <c r="L714" s="201"/>
      <c r="M714" s="201"/>
      <c r="N714" s="201"/>
      <c r="O714" s="201"/>
      <c r="P714" s="262"/>
      <c r="Q714" s="262"/>
    </row>
    <row r="715" spans="1:17">
      <c r="A715" s="201"/>
      <c r="B715" s="201"/>
      <c r="C715" s="201"/>
      <c r="D715" s="201"/>
      <c r="E715" s="201"/>
      <c r="F715" s="201"/>
      <c r="G715" s="201"/>
      <c r="H715" s="201"/>
      <c r="J715" s="201"/>
      <c r="K715" s="201"/>
      <c r="L715" s="201"/>
      <c r="M715" s="201"/>
      <c r="N715" s="201"/>
      <c r="O715" s="201"/>
      <c r="P715" s="262"/>
      <c r="Q715" s="262"/>
    </row>
    <row r="716" spans="1:17">
      <c r="A716" s="201"/>
      <c r="B716" s="201"/>
      <c r="C716" s="201"/>
      <c r="D716" s="201"/>
      <c r="E716" s="201"/>
      <c r="F716" s="201"/>
      <c r="G716" s="201"/>
      <c r="H716" s="201"/>
      <c r="J716" s="201"/>
      <c r="K716" s="201"/>
      <c r="L716" s="201"/>
      <c r="M716" s="201"/>
      <c r="N716" s="201"/>
      <c r="O716" s="201"/>
      <c r="P716" s="262"/>
      <c r="Q716" s="262"/>
    </row>
    <row r="717" spans="1:17">
      <c r="A717" s="201"/>
      <c r="B717" s="201"/>
      <c r="C717" s="201"/>
      <c r="D717" s="201"/>
      <c r="E717" s="201"/>
      <c r="F717" s="201"/>
      <c r="G717" s="201"/>
      <c r="H717" s="201"/>
      <c r="J717" s="201"/>
      <c r="K717" s="201"/>
      <c r="L717" s="201"/>
      <c r="M717" s="201"/>
      <c r="N717" s="201"/>
      <c r="O717" s="201"/>
      <c r="P717" s="262"/>
      <c r="Q717" s="262"/>
    </row>
    <row r="718" spans="1:17">
      <c r="A718" s="201"/>
      <c r="B718" s="201"/>
      <c r="C718" s="201"/>
      <c r="D718" s="201"/>
      <c r="E718" s="201"/>
      <c r="F718" s="201"/>
      <c r="G718" s="201"/>
      <c r="H718" s="201"/>
      <c r="J718" s="201"/>
      <c r="K718" s="201"/>
      <c r="L718" s="201"/>
      <c r="M718" s="201"/>
      <c r="N718" s="201"/>
      <c r="O718" s="201"/>
      <c r="P718" s="262"/>
      <c r="Q718" s="262"/>
    </row>
    <row r="719" spans="1:17">
      <c r="A719" s="201"/>
      <c r="B719" s="201"/>
      <c r="C719" s="201"/>
      <c r="D719" s="201"/>
      <c r="E719" s="201"/>
      <c r="F719" s="201"/>
      <c r="G719" s="201"/>
      <c r="H719" s="201"/>
      <c r="J719" s="201"/>
      <c r="K719" s="201"/>
      <c r="L719" s="201"/>
      <c r="M719" s="201"/>
      <c r="N719" s="201"/>
      <c r="O719" s="201"/>
      <c r="P719" s="262"/>
      <c r="Q719" s="262"/>
    </row>
    <row r="720" spans="1:17">
      <c r="A720" s="201"/>
      <c r="B720" s="201"/>
      <c r="C720" s="201"/>
      <c r="D720" s="201"/>
      <c r="E720" s="201"/>
      <c r="F720" s="201"/>
      <c r="G720" s="201"/>
      <c r="H720" s="201"/>
      <c r="J720" s="201"/>
      <c r="K720" s="201"/>
      <c r="L720" s="201"/>
      <c r="M720" s="201"/>
      <c r="N720" s="201"/>
      <c r="O720" s="201"/>
      <c r="P720" s="262"/>
      <c r="Q720" s="262"/>
    </row>
    <row r="721" spans="1:17">
      <c r="A721" s="201"/>
      <c r="B721" s="201"/>
      <c r="C721" s="201"/>
      <c r="D721" s="201"/>
      <c r="E721" s="201"/>
      <c r="F721" s="201"/>
      <c r="G721" s="201"/>
      <c r="H721" s="201"/>
      <c r="J721" s="201"/>
      <c r="K721" s="201"/>
      <c r="L721" s="201"/>
      <c r="M721" s="201"/>
      <c r="N721" s="201"/>
      <c r="O721" s="201"/>
      <c r="P721" s="262"/>
      <c r="Q721" s="262"/>
    </row>
    <row r="722" spans="1:17">
      <c r="A722" s="201"/>
      <c r="B722" s="201"/>
      <c r="C722" s="201"/>
      <c r="D722" s="201"/>
      <c r="E722" s="201"/>
      <c r="F722" s="201"/>
      <c r="G722" s="201"/>
      <c r="H722" s="201"/>
      <c r="J722" s="201"/>
      <c r="K722" s="201"/>
      <c r="L722" s="201"/>
      <c r="M722" s="201"/>
      <c r="N722" s="201"/>
      <c r="O722" s="201"/>
      <c r="P722" s="262"/>
      <c r="Q722" s="262"/>
    </row>
    <row r="723" spans="1:17">
      <c r="A723" s="201"/>
      <c r="B723" s="201"/>
      <c r="C723" s="201"/>
      <c r="D723" s="201"/>
      <c r="E723" s="201"/>
      <c r="F723" s="201"/>
      <c r="G723" s="201"/>
      <c r="H723" s="201"/>
      <c r="J723" s="201"/>
      <c r="K723" s="201"/>
      <c r="L723" s="201"/>
      <c r="M723" s="201"/>
      <c r="N723" s="201"/>
      <c r="O723" s="201"/>
      <c r="P723" s="262"/>
      <c r="Q723" s="262"/>
    </row>
    <row r="724" spans="1:17">
      <c r="A724" s="201"/>
      <c r="B724" s="201"/>
      <c r="C724" s="201"/>
      <c r="D724" s="201"/>
      <c r="E724" s="201"/>
      <c r="F724" s="201"/>
      <c r="G724" s="201"/>
      <c r="H724" s="201"/>
      <c r="J724" s="201"/>
      <c r="K724" s="201"/>
      <c r="L724" s="201"/>
      <c r="M724" s="201"/>
      <c r="N724" s="201"/>
      <c r="O724" s="201"/>
      <c r="P724" s="262"/>
      <c r="Q724" s="262"/>
    </row>
    <row r="725" spans="1:17">
      <c r="A725" s="201"/>
      <c r="B725" s="201"/>
      <c r="C725" s="201"/>
      <c r="D725" s="201"/>
      <c r="E725" s="201"/>
      <c r="F725" s="201"/>
      <c r="G725" s="201"/>
      <c r="H725" s="201"/>
      <c r="J725" s="201"/>
      <c r="K725" s="201"/>
      <c r="L725" s="201"/>
      <c r="M725" s="201"/>
      <c r="N725" s="201"/>
      <c r="O725" s="201"/>
      <c r="P725" s="262"/>
      <c r="Q725" s="262"/>
    </row>
    <row r="726" spans="1:17">
      <c r="A726" s="201"/>
      <c r="B726" s="201"/>
      <c r="C726" s="201"/>
      <c r="D726" s="201"/>
      <c r="E726" s="201"/>
      <c r="F726" s="201"/>
      <c r="G726" s="201"/>
      <c r="H726" s="201"/>
      <c r="J726" s="201"/>
      <c r="K726" s="201"/>
      <c r="L726" s="201"/>
      <c r="M726" s="201"/>
      <c r="N726" s="201"/>
      <c r="O726" s="201"/>
      <c r="P726" s="262"/>
      <c r="Q726" s="262"/>
    </row>
    <row r="727" spans="1:17">
      <c r="A727" s="201"/>
      <c r="B727" s="201"/>
      <c r="C727" s="201"/>
      <c r="D727" s="201"/>
      <c r="E727" s="201"/>
      <c r="F727" s="201"/>
      <c r="G727" s="201"/>
      <c r="H727" s="201"/>
      <c r="J727" s="201"/>
      <c r="K727" s="201"/>
      <c r="L727" s="201"/>
      <c r="M727" s="201"/>
      <c r="N727" s="201"/>
      <c r="O727" s="201"/>
      <c r="P727" s="262"/>
      <c r="Q727" s="262"/>
    </row>
    <row r="728" spans="1:17">
      <c r="A728" s="201"/>
      <c r="B728" s="201"/>
      <c r="C728" s="201"/>
      <c r="D728" s="201"/>
      <c r="E728" s="201"/>
      <c r="F728" s="201"/>
      <c r="G728" s="201"/>
      <c r="H728" s="201"/>
      <c r="J728" s="201"/>
      <c r="K728" s="201"/>
      <c r="L728" s="201"/>
      <c r="M728" s="201"/>
      <c r="N728" s="201"/>
      <c r="O728" s="201"/>
      <c r="P728" s="262"/>
      <c r="Q728" s="262"/>
    </row>
    <row r="729" spans="1:17">
      <c r="A729" s="201"/>
      <c r="B729" s="201"/>
      <c r="C729" s="201"/>
      <c r="D729" s="201"/>
      <c r="E729" s="201"/>
      <c r="F729" s="201"/>
      <c r="G729" s="201"/>
      <c r="H729" s="201"/>
      <c r="J729" s="201"/>
      <c r="K729" s="201"/>
      <c r="L729" s="201"/>
      <c r="M729" s="201"/>
      <c r="N729" s="201"/>
      <c r="O729" s="201"/>
      <c r="P729" s="262"/>
      <c r="Q729" s="262"/>
    </row>
    <row r="730" spans="1:17">
      <c r="A730" s="201"/>
      <c r="B730" s="201"/>
      <c r="C730" s="201"/>
      <c r="D730" s="201"/>
      <c r="E730" s="201"/>
      <c r="F730" s="201"/>
      <c r="G730" s="201"/>
      <c r="H730" s="201"/>
      <c r="J730" s="201"/>
      <c r="K730" s="201"/>
      <c r="L730" s="201"/>
      <c r="M730" s="201"/>
      <c r="N730" s="201"/>
      <c r="O730" s="201"/>
      <c r="P730" s="262"/>
      <c r="Q730" s="262"/>
    </row>
    <row r="731" spans="1:17">
      <c r="A731" s="201"/>
      <c r="B731" s="201"/>
      <c r="C731" s="201"/>
      <c r="D731" s="201"/>
      <c r="E731" s="201"/>
      <c r="F731" s="201"/>
      <c r="G731" s="201"/>
      <c r="H731" s="201"/>
      <c r="J731" s="201"/>
      <c r="K731" s="201"/>
      <c r="L731" s="201"/>
      <c r="M731" s="201"/>
      <c r="N731" s="201"/>
      <c r="O731" s="201"/>
      <c r="P731" s="262"/>
      <c r="Q731" s="262"/>
    </row>
    <row r="732" spans="1:17">
      <c r="A732" s="201"/>
      <c r="B732" s="201"/>
      <c r="C732" s="201"/>
      <c r="D732" s="201"/>
      <c r="E732" s="201"/>
      <c r="F732" s="201"/>
      <c r="G732" s="201"/>
      <c r="H732" s="201"/>
      <c r="J732" s="201"/>
      <c r="K732" s="201"/>
      <c r="L732" s="201"/>
      <c r="M732" s="201"/>
      <c r="N732" s="201"/>
      <c r="O732" s="201"/>
      <c r="P732" s="262"/>
      <c r="Q732" s="262"/>
    </row>
    <row r="733" spans="1:17">
      <c r="A733" s="201"/>
      <c r="B733" s="201"/>
      <c r="C733" s="201"/>
      <c r="D733" s="201"/>
      <c r="E733" s="201"/>
      <c r="F733" s="201"/>
      <c r="G733" s="201"/>
      <c r="H733" s="201"/>
      <c r="J733" s="201"/>
      <c r="K733" s="201"/>
      <c r="L733" s="201"/>
      <c r="M733" s="201"/>
      <c r="N733" s="201"/>
      <c r="O733" s="201"/>
      <c r="P733" s="262"/>
      <c r="Q733" s="262"/>
    </row>
    <row r="734" spans="1:17">
      <c r="A734" s="201"/>
      <c r="B734" s="201"/>
      <c r="C734" s="201"/>
      <c r="D734" s="201"/>
      <c r="E734" s="201"/>
      <c r="F734" s="201"/>
      <c r="G734" s="201"/>
      <c r="H734" s="201"/>
      <c r="J734" s="201"/>
      <c r="K734" s="201"/>
      <c r="L734" s="201"/>
      <c r="M734" s="201"/>
      <c r="N734" s="201"/>
      <c r="O734" s="201"/>
      <c r="P734" s="262"/>
      <c r="Q734" s="262"/>
    </row>
    <row r="735" spans="1:17">
      <c r="L735" s="201"/>
      <c r="M735" s="201"/>
      <c r="N735" s="201"/>
      <c r="O735" s="201"/>
      <c r="P735" s="262"/>
      <c r="Q735" s="262"/>
    </row>
    <row r="736" spans="1:17">
      <c r="L736" s="201"/>
      <c r="M736" s="201"/>
      <c r="N736" s="201"/>
      <c r="O736" s="201"/>
      <c r="P736" s="262"/>
      <c r="Q736" s="262"/>
    </row>
    <row r="737" spans="1:17">
      <c r="L737" s="201"/>
      <c r="M737" s="201"/>
      <c r="N737" s="201"/>
      <c r="O737" s="201"/>
      <c r="P737" s="262"/>
      <c r="Q737" s="262"/>
    </row>
    <row r="738" spans="1:17">
      <c r="L738" s="201"/>
      <c r="M738" s="201"/>
      <c r="N738" s="201"/>
      <c r="O738" s="201"/>
      <c r="P738" s="262"/>
      <c r="Q738" s="262"/>
    </row>
    <row r="739" spans="1:17">
      <c r="L739" s="201"/>
      <c r="M739" s="201"/>
      <c r="N739" s="201"/>
      <c r="O739" s="201"/>
      <c r="P739" s="262"/>
      <c r="Q739" s="262"/>
    </row>
    <row r="740" spans="1:17">
      <c r="L740" s="201"/>
      <c r="M740" s="201"/>
      <c r="N740" s="201"/>
      <c r="O740" s="201"/>
      <c r="P740" s="262"/>
      <c r="Q740" s="262"/>
    </row>
    <row r="741" spans="1:17">
      <c r="L741" s="201"/>
      <c r="M741" s="201"/>
      <c r="N741" s="201"/>
      <c r="O741" s="201"/>
      <c r="P741" s="262"/>
      <c r="Q741" s="262"/>
    </row>
    <row r="742" spans="1:17">
      <c r="L742" s="201"/>
      <c r="M742" s="201"/>
      <c r="N742" s="201"/>
      <c r="O742" s="201"/>
      <c r="P742" s="262"/>
      <c r="Q742" s="262"/>
    </row>
    <row r="743" spans="1:17">
      <c r="L743" s="201"/>
      <c r="M743" s="201"/>
      <c r="N743" s="201"/>
      <c r="O743" s="201"/>
      <c r="P743" s="262"/>
      <c r="Q743" s="262"/>
    </row>
    <row r="744" spans="1:17">
      <c r="L744" s="201"/>
      <c r="M744" s="201"/>
      <c r="N744" s="201"/>
      <c r="O744" s="201"/>
      <c r="P744" s="262"/>
      <c r="Q744" s="262"/>
    </row>
    <row r="745" spans="1:17">
      <c r="L745" s="201"/>
      <c r="M745" s="201"/>
      <c r="N745" s="201"/>
      <c r="O745" s="201"/>
      <c r="P745" s="262"/>
      <c r="Q745" s="262"/>
    </row>
    <row r="746" spans="1:17">
      <c r="A746" s="201"/>
      <c r="B746" s="201"/>
      <c r="C746" s="201"/>
      <c r="D746" s="201"/>
      <c r="E746" s="201"/>
      <c r="F746" s="201"/>
      <c r="G746" s="201"/>
      <c r="H746" s="201"/>
      <c r="J746" s="201"/>
      <c r="K746" s="201"/>
      <c r="L746" s="201"/>
      <c r="M746" s="201"/>
      <c r="N746" s="201"/>
      <c r="O746" s="201"/>
      <c r="P746" s="262"/>
      <c r="Q746" s="262"/>
    </row>
    <row r="747" spans="1:17">
      <c r="A747" s="201"/>
      <c r="B747" s="201"/>
      <c r="C747" s="201"/>
      <c r="D747" s="201"/>
      <c r="E747" s="201"/>
      <c r="F747" s="201"/>
      <c r="G747" s="201"/>
      <c r="H747" s="201"/>
      <c r="J747" s="201"/>
      <c r="K747" s="201"/>
      <c r="L747" s="201"/>
      <c r="M747" s="201"/>
      <c r="N747" s="201"/>
      <c r="O747" s="201"/>
      <c r="P747" s="262"/>
      <c r="Q747" s="262"/>
    </row>
    <row r="748" spans="1:17">
      <c r="A748" s="201"/>
      <c r="B748" s="201"/>
      <c r="C748" s="201"/>
      <c r="D748" s="201"/>
      <c r="E748" s="201"/>
      <c r="F748" s="201"/>
      <c r="G748" s="201"/>
      <c r="H748" s="201"/>
      <c r="J748" s="201"/>
      <c r="K748" s="201"/>
      <c r="L748" s="201"/>
      <c r="M748" s="201"/>
      <c r="N748" s="201"/>
      <c r="O748" s="201"/>
      <c r="P748" s="262"/>
      <c r="Q748" s="262"/>
    </row>
    <row r="749" spans="1:17">
      <c r="A749" s="201"/>
      <c r="B749" s="201"/>
      <c r="C749" s="201"/>
      <c r="D749" s="201"/>
      <c r="E749" s="201"/>
      <c r="F749" s="201"/>
      <c r="G749" s="201"/>
      <c r="H749" s="201"/>
      <c r="J749" s="201"/>
      <c r="K749" s="201"/>
      <c r="L749" s="201"/>
      <c r="M749" s="201"/>
      <c r="N749" s="201"/>
      <c r="O749" s="201"/>
      <c r="P749" s="262"/>
      <c r="Q749" s="262"/>
    </row>
    <row r="750" spans="1:17">
      <c r="A750" s="201"/>
      <c r="B750" s="201"/>
      <c r="C750" s="201"/>
      <c r="D750" s="201"/>
      <c r="E750" s="201"/>
      <c r="F750" s="201"/>
      <c r="G750" s="201"/>
      <c r="H750" s="201"/>
      <c r="J750" s="201"/>
      <c r="K750" s="201"/>
      <c r="L750" s="201"/>
      <c r="M750" s="201"/>
      <c r="N750" s="201"/>
      <c r="O750" s="201"/>
      <c r="P750" s="262"/>
      <c r="Q750" s="262"/>
    </row>
    <row r="751" spans="1:17">
      <c r="A751" s="201"/>
      <c r="B751" s="201"/>
      <c r="C751" s="201"/>
      <c r="D751" s="201"/>
      <c r="E751" s="201"/>
      <c r="F751" s="201"/>
      <c r="G751" s="201"/>
      <c r="H751" s="201"/>
      <c r="J751" s="201"/>
      <c r="K751" s="201"/>
      <c r="L751" s="201"/>
      <c r="M751" s="201"/>
      <c r="N751" s="201"/>
      <c r="O751" s="201"/>
      <c r="P751" s="262"/>
      <c r="Q751" s="262"/>
    </row>
    <row r="752" spans="1:17">
      <c r="A752" s="201"/>
      <c r="B752" s="201"/>
      <c r="C752" s="201"/>
      <c r="D752" s="201"/>
      <c r="E752" s="201"/>
      <c r="F752" s="201"/>
      <c r="G752" s="201"/>
      <c r="H752" s="201"/>
      <c r="J752" s="201"/>
      <c r="K752" s="201"/>
      <c r="L752" s="201"/>
      <c r="M752" s="201"/>
      <c r="N752" s="201"/>
      <c r="O752" s="201"/>
      <c r="P752" s="262"/>
      <c r="Q752" s="262"/>
    </row>
    <row r="753" spans="1:17">
      <c r="A753" s="201"/>
      <c r="B753" s="201"/>
      <c r="C753" s="201"/>
      <c r="D753" s="201"/>
      <c r="E753" s="201"/>
      <c r="F753" s="201"/>
      <c r="G753" s="201"/>
      <c r="H753" s="201"/>
      <c r="J753" s="201"/>
      <c r="K753" s="201"/>
      <c r="L753" s="201"/>
      <c r="M753" s="201"/>
      <c r="N753" s="201"/>
      <c r="O753" s="201"/>
      <c r="P753" s="262"/>
      <c r="Q753" s="262"/>
    </row>
    <row r="754" spans="1:17">
      <c r="A754" s="201"/>
      <c r="B754" s="201"/>
      <c r="C754" s="201"/>
      <c r="D754" s="201"/>
      <c r="E754" s="201"/>
      <c r="F754" s="201"/>
      <c r="G754" s="201"/>
      <c r="H754" s="201"/>
      <c r="J754" s="201"/>
      <c r="K754" s="201"/>
      <c r="L754" s="201"/>
      <c r="M754" s="201"/>
      <c r="N754" s="201"/>
      <c r="O754" s="201"/>
      <c r="P754" s="262"/>
      <c r="Q754" s="262"/>
    </row>
    <row r="755" spans="1:17">
      <c r="A755" s="201"/>
      <c r="B755" s="201"/>
      <c r="C755" s="201"/>
      <c r="D755" s="201"/>
      <c r="E755" s="201"/>
      <c r="F755" s="201"/>
      <c r="G755" s="201"/>
      <c r="H755" s="201"/>
      <c r="J755" s="201"/>
      <c r="K755" s="201"/>
      <c r="L755" s="201"/>
      <c r="M755" s="201"/>
      <c r="N755" s="201"/>
      <c r="O755" s="201"/>
      <c r="P755" s="262"/>
      <c r="Q755" s="262"/>
    </row>
    <row r="756" spans="1:17">
      <c r="A756" s="201"/>
      <c r="B756" s="201"/>
      <c r="C756" s="201"/>
      <c r="D756" s="201"/>
      <c r="E756" s="201"/>
      <c r="F756" s="201"/>
      <c r="G756" s="201"/>
      <c r="H756" s="201"/>
      <c r="J756" s="201"/>
      <c r="K756" s="201"/>
      <c r="L756" s="201"/>
      <c r="M756" s="201"/>
      <c r="N756" s="201"/>
      <c r="O756" s="201"/>
      <c r="P756" s="262"/>
      <c r="Q756" s="262"/>
    </row>
    <row r="757" spans="1:17">
      <c r="A757" s="201"/>
      <c r="B757" s="201"/>
      <c r="C757" s="201"/>
      <c r="D757" s="201"/>
      <c r="E757" s="201"/>
      <c r="F757" s="201"/>
      <c r="G757" s="201"/>
      <c r="H757" s="201"/>
      <c r="J757" s="201"/>
      <c r="K757" s="201"/>
      <c r="L757" s="201"/>
      <c r="M757" s="201"/>
      <c r="N757" s="201"/>
      <c r="O757" s="201"/>
      <c r="P757" s="262"/>
      <c r="Q757" s="262"/>
    </row>
    <row r="758" spans="1:17">
      <c r="A758" s="201"/>
      <c r="B758" s="201"/>
      <c r="C758" s="201"/>
      <c r="D758" s="201"/>
      <c r="E758" s="201"/>
      <c r="F758" s="201"/>
      <c r="G758" s="201"/>
      <c r="H758" s="201"/>
      <c r="J758" s="201"/>
      <c r="K758" s="201"/>
      <c r="L758" s="201"/>
      <c r="M758" s="201"/>
      <c r="N758" s="201"/>
      <c r="O758" s="201"/>
      <c r="P758" s="262"/>
      <c r="Q758" s="262"/>
    </row>
    <row r="759" spans="1:17">
      <c r="A759" s="201"/>
      <c r="B759" s="201"/>
      <c r="C759" s="201"/>
      <c r="D759" s="201"/>
      <c r="E759" s="201"/>
      <c r="F759" s="201"/>
      <c r="G759" s="201"/>
      <c r="H759" s="201"/>
      <c r="J759" s="201"/>
      <c r="K759" s="201"/>
      <c r="L759" s="201"/>
      <c r="M759" s="201"/>
      <c r="N759" s="201"/>
      <c r="O759" s="201"/>
      <c r="P759" s="262"/>
      <c r="Q759" s="262"/>
    </row>
    <row r="760" spans="1:17">
      <c r="A760" s="201"/>
      <c r="B760" s="201"/>
      <c r="C760" s="201"/>
      <c r="D760" s="201"/>
      <c r="E760" s="201"/>
      <c r="F760" s="201"/>
      <c r="G760" s="201"/>
      <c r="H760" s="201"/>
      <c r="J760" s="201"/>
      <c r="K760" s="201"/>
      <c r="L760" s="201"/>
      <c r="M760" s="201"/>
      <c r="N760" s="201"/>
      <c r="O760" s="201"/>
      <c r="P760" s="262"/>
      <c r="Q760" s="262"/>
    </row>
    <row r="761" spans="1:17">
      <c r="A761" s="201"/>
      <c r="B761" s="201"/>
      <c r="C761" s="201"/>
      <c r="D761" s="201"/>
      <c r="E761" s="201"/>
      <c r="F761" s="201"/>
      <c r="G761" s="201"/>
      <c r="H761" s="201"/>
      <c r="J761" s="201"/>
      <c r="K761" s="201"/>
      <c r="L761" s="201"/>
      <c r="M761" s="201"/>
      <c r="N761" s="201"/>
      <c r="O761" s="201"/>
      <c r="P761" s="262"/>
      <c r="Q761" s="262"/>
    </row>
    <row r="762" spans="1:17">
      <c r="A762" s="201"/>
      <c r="B762" s="201"/>
      <c r="C762" s="201"/>
      <c r="D762" s="201"/>
      <c r="E762" s="201"/>
      <c r="F762" s="201"/>
      <c r="G762" s="201"/>
      <c r="H762" s="201"/>
      <c r="J762" s="201"/>
      <c r="K762" s="201"/>
      <c r="L762" s="201"/>
      <c r="M762" s="201"/>
      <c r="N762" s="201"/>
      <c r="O762" s="201"/>
      <c r="P762" s="262"/>
      <c r="Q762" s="262"/>
    </row>
    <row r="763" spans="1:17">
      <c r="A763" s="201"/>
      <c r="B763" s="201"/>
      <c r="C763" s="201"/>
      <c r="D763" s="201"/>
      <c r="E763" s="201"/>
      <c r="F763" s="201"/>
      <c r="G763" s="201"/>
      <c r="H763" s="201"/>
      <c r="J763" s="201"/>
      <c r="K763" s="201"/>
      <c r="L763" s="201"/>
      <c r="M763" s="201"/>
      <c r="N763" s="201"/>
      <c r="O763" s="201"/>
      <c r="P763" s="262"/>
      <c r="Q763" s="262"/>
    </row>
    <row r="764" spans="1:17">
      <c r="A764" s="201"/>
      <c r="B764" s="201"/>
      <c r="C764" s="201"/>
      <c r="D764" s="201"/>
      <c r="E764" s="201"/>
      <c r="F764" s="201"/>
      <c r="G764" s="201"/>
      <c r="H764" s="201"/>
      <c r="J764" s="201"/>
      <c r="K764" s="201"/>
      <c r="L764" s="201"/>
      <c r="M764" s="201"/>
      <c r="N764" s="201"/>
      <c r="O764" s="201"/>
      <c r="P764" s="262"/>
      <c r="Q764" s="262"/>
    </row>
    <row r="765" spans="1:17">
      <c r="A765" s="201"/>
      <c r="B765" s="201"/>
      <c r="C765" s="201"/>
      <c r="D765" s="201"/>
      <c r="E765" s="201"/>
      <c r="F765" s="201"/>
      <c r="G765" s="201"/>
      <c r="H765" s="201"/>
      <c r="J765" s="201"/>
      <c r="K765" s="201"/>
      <c r="L765" s="201"/>
      <c r="M765" s="201"/>
      <c r="N765" s="201"/>
      <c r="O765" s="201"/>
      <c r="P765" s="262"/>
      <c r="Q765" s="262"/>
    </row>
    <row r="766" spans="1:17">
      <c r="A766" s="201"/>
      <c r="B766" s="201"/>
      <c r="C766" s="201"/>
      <c r="D766" s="201"/>
      <c r="E766" s="201"/>
      <c r="F766" s="201"/>
      <c r="G766" s="201"/>
      <c r="H766" s="201"/>
      <c r="J766" s="201"/>
      <c r="K766" s="201"/>
      <c r="L766" s="201"/>
      <c r="M766" s="201"/>
      <c r="N766" s="201"/>
      <c r="O766" s="201"/>
      <c r="P766" s="262"/>
      <c r="Q766" s="262"/>
    </row>
    <row r="767" spans="1:17">
      <c r="A767" s="201"/>
      <c r="B767" s="201"/>
      <c r="C767" s="201"/>
      <c r="D767" s="201"/>
      <c r="E767" s="201"/>
      <c r="F767" s="201"/>
      <c r="G767" s="201"/>
      <c r="H767" s="201"/>
      <c r="J767" s="201"/>
      <c r="K767" s="201"/>
      <c r="L767" s="201"/>
      <c r="M767" s="201"/>
      <c r="N767" s="201"/>
      <c r="O767" s="201"/>
      <c r="P767" s="262"/>
      <c r="Q767" s="262"/>
    </row>
    <row r="768" spans="1:17">
      <c r="A768" s="201"/>
      <c r="B768" s="201"/>
      <c r="C768" s="201"/>
      <c r="D768" s="201"/>
      <c r="E768" s="201"/>
      <c r="F768" s="201"/>
      <c r="G768" s="201"/>
      <c r="H768" s="201"/>
      <c r="J768" s="201"/>
      <c r="K768" s="201"/>
      <c r="L768" s="201"/>
      <c r="M768" s="201"/>
      <c r="N768" s="201"/>
      <c r="O768" s="201"/>
      <c r="P768" s="262"/>
      <c r="Q768" s="262"/>
    </row>
    <row r="769" spans="1:17">
      <c r="A769" s="201"/>
      <c r="B769" s="201"/>
      <c r="C769" s="201"/>
      <c r="D769" s="201"/>
      <c r="E769" s="201"/>
      <c r="F769" s="201"/>
      <c r="G769" s="201"/>
      <c r="H769" s="201"/>
      <c r="J769" s="201"/>
      <c r="K769" s="201"/>
      <c r="L769" s="201"/>
      <c r="M769" s="201"/>
      <c r="N769" s="201"/>
      <c r="O769" s="201"/>
      <c r="P769" s="262"/>
      <c r="Q769" s="262"/>
    </row>
    <row r="770" spans="1:17">
      <c r="A770" s="201"/>
      <c r="B770" s="201"/>
      <c r="C770" s="201"/>
      <c r="D770" s="201"/>
      <c r="E770" s="201"/>
      <c r="F770" s="201"/>
      <c r="G770" s="201"/>
      <c r="H770" s="201"/>
      <c r="J770" s="201"/>
      <c r="K770" s="201"/>
      <c r="L770" s="201"/>
      <c r="M770" s="201"/>
      <c r="N770" s="201"/>
      <c r="O770" s="201"/>
      <c r="P770" s="262"/>
      <c r="Q770" s="262"/>
    </row>
    <row r="771" spans="1:17">
      <c r="A771" s="201"/>
      <c r="B771" s="201"/>
      <c r="C771" s="201"/>
      <c r="D771" s="201"/>
      <c r="E771" s="201"/>
      <c r="F771" s="201"/>
      <c r="G771" s="201"/>
      <c r="H771" s="201"/>
      <c r="J771" s="201"/>
      <c r="K771" s="201"/>
      <c r="L771" s="201"/>
      <c r="M771" s="201"/>
      <c r="N771" s="201"/>
      <c r="O771" s="201"/>
      <c r="P771" s="262"/>
      <c r="Q771" s="262"/>
    </row>
    <row r="772" spans="1:17">
      <c r="A772" s="201"/>
      <c r="B772" s="201"/>
      <c r="C772" s="201"/>
      <c r="D772" s="201"/>
      <c r="E772" s="201"/>
      <c r="F772" s="201"/>
      <c r="G772" s="201"/>
      <c r="H772" s="201"/>
      <c r="J772" s="201"/>
      <c r="K772" s="201"/>
      <c r="L772" s="201"/>
      <c r="M772" s="201"/>
      <c r="N772" s="201"/>
      <c r="O772" s="201"/>
      <c r="P772" s="262"/>
      <c r="Q772" s="262"/>
    </row>
    <row r="773" spans="1:17">
      <c r="A773" s="201"/>
      <c r="B773" s="201"/>
      <c r="C773" s="201"/>
      <c r="D773" s="201"/>
      <c r="E773" s="201"/>
      <c r="F773" s="201"/>
      <c r="G773" s="201"/>
      <c r="H773" s="201"/>
      <c r="J773" s="201"/>
      <c r="K773" s="201"/>
      <c r="L773" s="201"/>
      <c r="M773" s="201"/>
      <c r="N773" s="201"/>
      <c r="O773" s="201"/>
      <c r="P773" s="262"/>
      <c r="Q773" s="262"/>
    </row>
    <row r="774" spans="1:17">
      <c r="A774" s="201"/>
      <c r="B774" s="201"/>
      <c r="C774" s="201"/>
      <c r="D774" s="201"/>
      <c r="E774" s="201"/>
      <c r="F774" s="201"/>
      <c r="G774" s="201"/>
      <c r="H774" s="201"/>
      <c r="J774" s="201"/>
      <c r="K774" s="201"/>
      <c r="L774" s="201"/>
      <c r="M774" s="201"/>
      <c r="N774" s="201"/>
      <c r="O774" s="201"/>
      <c r="P774" s="262"/>
      <c r="Q774" s="262"/>
    </row>
    <row r="775" spans="1:17">
      <c r="A775" s="201"/>
      <c r="B775" s="201"/>
      <c r="C775" s="201"/>
      <c r="D775" s="201"/>
      <c r="E775" s="201"/>
      <c r="F775" s="201"/>
      <c r="G775" s="201"/>
      <c r="H775" s="201"/>
      <c r="J775" s="201"/>
      <c r="K775" s="201"/>
      <c r="L775" s="201"/>
      <c r="M775" s="201"/>
      <c r="N775" s="201"/>
      <c r="O775" s="201"/>
      <c r="P775" s="262"/>
      <c r="Q775" s="262"/>
    </row>
    <row r="776" spans="1:17">
      <c r="A776" s="201"/>
      <c r="B776" s="201"/>
      <c r="C776" s="201"/>
      <c r="D776" s="201"/>
      <c r="E776" s="201"/>
      <c r="F776" s="201"/>
      <c r="G776" s="201"/>
      <c r="H776" s="201"/>
      <c r="J776" s="201"/>
      <c r="K776" s="201"/>
      <c r="L776" s="201"/>
      <c r="M776" s="201"/>
      <c r="N776" s="201"/>
      <c r="O776" s="201"/>
      <c r="P776" s="262"/>
      <c r="Q776" s="262"/>
    </row>
    <row r="777" spans="1:17">
      <c r="A777" s="201"/>
      <c r="B777" s="201"/>
      <c r="C777" s="201"/>
      <c r="D777" s="201"/>
      <c r="E777" s="201"/>
      <c r="F777" s="201"/>
      <c r="G777" s="201"/>
      <c r="H777" s="201"/>
      <c r="J777" s="201"/>
      <c r="K777" s="201"/>
      <c r="L777" s="201"/>
      <c r="M777" s="201"/>
      <c r="N777" s="201"/>
      <c r="O777" s="201"/>
      <c r="P777" s="262"/>
      <c r="Q777" s="262"/>
    </row>
    <row r="778" spans="1:17">
      <c r="A778" s="201"/>
      <c r="B778" s="201"/>
      <c r="C778" s="201"/>
      <c r="D778" s="201"/>
      <c r="E778" s="201"/>
      <c r="F778" s="201"/>
      <c r="G778" s="201"/>
      <c r="H778" s="201"/>
      <c r="J778" s="201"/>
      <c r="K778" s="201"/>
      <c r="L778" s="201"/>
      <c r="M778" s="201"/>
      <c r="N778" s="201"/>
      <c r="O778" s="201"/>
      <c r="P778" s="262"/>
      <c r="Q778" s="262"/>
    </row>
    <row r="779" spans="1:17">
      <c r="A779" s="201"/>
      <c r="B779" s="201"/>
      <c r="C779" s="201"/>
      <c r="D779" s="201"/>
      <c r="E779" s="201"/>
      <c r="F779" s="201"/>
      <c r="G779" s="201"/>
      <c r="H779" s="201"/>
      <c r="J779" s="201"/>
      <c r="K779" s="201"/>
      <c r="L779" s="201"/>
      <c r="M779" s="201"/>
      <c r="N779" s="201"/>
      <c r="O779" s="201"/>
      <c r="P779" s="262"/>
      <c r="Q779" s="262"/>
    </row>
    <row r="780" spans="1:17">
      <c r="A780" s="201"/>
      <c r="B780" s="201"/>
      <c r="C780" s="201"/>
      <c r="D780" s="201"/>
      <c r="E780" s="201"/>
      <c r="F780" s="201"/>
      <c r="G780" s="201"/>
      <c r="H780" s="201"/>
      <c r="J780" s="201"/>
      <c r="K780" s="201"/>
      <c r="L780" s="201"/>
      <c r="M780" s="201"/>
      <c r="N780" s="201"/>
      <c r="O780" s="201"/>
      <c r="P780" s="262"/>
      <c r="Q780" s="262"/>
    </row>
    <row r="781" spans="1:17">
      <c r="A781" s="201"/>
      <c r="B781" s="201"/>
      <c r="C781" s="201"/>
      <c r="D781" s="201"/>
      <c r="E781" s="201"/>
      <c r="F781" s="201"/>
      <c r="G781" s="201"/>
      <c r="H781" s="201"/>
      <c r="J781" s="201"/>
      <c r="K781" s="201"/>
      <c r="L781" s="201"/>
      <c r="M781" s="201"/>
      <c r="N781" s="201"/>
      <c r="O781" s="201"/>
      <c r="P781" s="262"/>
      <c r="Q781" s="262"/>
    </row>
    <row r="782" spans="1:17">
      <c r="A782" s="201"/>
      <c r="B782" s="201"/>
      <c r="C782" s="201"/>
      <c r="D782" s="201"/>
      <c r="E782" s="201"/>
      <c r="F782" s="201"/>
      <c r="G782" s="201"/>
      <c r="H782" s="201"/>
      <c r="J782" s="201"/>
      <c r="K782" s="201"/>
      <c r="L782" s="201"/>
      <c r="M782" s="201"/>
      <c r="N782" s="201"/>
      <c r="O782" s="201"/>
      <c r="P782" s="262"/>
      <c r="Q782" s="262"/>
    </row>
    <row r="783" spans="1:17">
      <c r="A783" s="201"/>
      <c r="B783" s="201"/>
      <c r="C783" s="201"/>
      <c r="D783" s="201"/>
      <c r="E783" s="201"/>
      <c r="F783" s="201"/>
      <c r="G783" s="201"/>
      <c r="H783" s="201"/>
      <c r="J783" s="201"/>
      <c r="K783" s="201"/>
      <c r="L783" s="201"/>
      <c r="M783" s="201"/>
      <c r="N783" s="201"/>
      <c r="O783" s="201"/>
      <c r="P783" s="262"/>
      <c r="Q783" s="262"/>
    </row>
    <row r="784" spans="1:17">
      <c r="A784" s="201"/>
      <c r="B784" s="201"/>
      <c r="C784" s="201"/>
      <c r="D784" s="201"/>
      <c r="E784" s="201"/>
      <c r="F784" s="201"/>
      <c r="G784" s="201"/>
      <c r="H784" s="201"/>
      <c r="J784" s="201"/>
      <c r="K784" s="201"/>
      <c r="L784" s="201"/>
      <c r="M784" s="201"/>
      <c r="N784" s="201"/>
      <c r="O784" s="201"/>
      <c r="P784" s="262"/>
      <c r="Q784" s="262"/>
    </row>
    <row r="785" spans="1:17">
      <c r="A785" s="201"/>
      <c r="B785" s="201"/>
      <c r="C785" s="201"/>
      <c r="D785" s="201"/>
      <c r="E785" s="201"/>
      <c r="F785" s="201"/>
      <c r="G785" s="201"/>
      <c r="H785" s="201"/>
      <c r="J785" s="201"/>
      <c r="K785" s="201"/>
      <c r="L785" s="201"/>
      <c r="M785" s="201"/>
      <c r="N785" s="201"/>
      <c r="O785" s="201"/>
      <c r="P785" s="262"/>
      <c r="Q785" s="262"/>
    </row>
    <row r="786" spans="1:17">
      <c r="A786" s="201"/>
      <c r="B786" s="201"/>
      <c r="C786" s="201"/>
      <c r="D786" s="201"/>
      <c r="E786" s="201"/>
      <c r="F786" s="201"/>
      <c r="G786" s="201"/>
      <c r="H786" s="201"/>
      <c r="J786" s="201"/>
      <c r="K786" s="201"/>
      <c r="L786" s="201"/>
      <c r="M786" s="201"/>
      <c r="N786" s="201"/>
      <c r="O786" s="201"/>
      <c r="P786" s="262"/>
      <c r="Q786" s="262"/>
    </row>
    <row r="787" spans="1:17">
      <c r="A787" s="201"/>
      <c r="B787" s="201"/>
      <c r="C787" s="201"/>
      <c r="D787" s="201"/>
      <c r="E787" s="201"/>
      <c r="F787" s="201"/>
      <c r="G787" s="201"/>
      <c r="H787" s="201"/>
      <c r="J787" s="201"/>
      <c r="K787" s="201"/>
      <c r="L787" s="201"/>
      <c r="M787" s="201"/>
      <c r="N787" s="201"/>
      <c r="O787" s="201"/>
      <c r="P787" s="262"/>
      <c r="Q787" s="262"/>
    </row>
    <row r="788" spans="1:17">
      <c r="A788" s="201"/>
      <c r="B788" s="201"/>
      <c r="C788" s="201"/>
      <c r="D788" s="201"/>
      <c r="E788" s="201"/>
      <c r="F788" s="201"/>
      <c r="G788" s="201"/>
      <c r="H788" s="201"/>
      <c r="J788" s="201"/>
      <c r="K788" s="201"/>
      <c r="L788" s="201"/>
      <c r="M788" s="201"/>
      <c r="N788" s="201"/>
      <c r="O788" s="201"/>
      <c r="P788" s="262"/>
      <c r="Q788" s="262"/>
    </row>
    <row r="789" spans="1:17">
      <c r="A789" s="201"/>
      <c r="B789" s="201"/>
      <c r="C789" s="201"/>
      <c r="D789" s="201"/>
      <c r="E789" s="201"/>
      <c r="F789" s="201"/>
      <c r="G789" s="201"/>
      <c r="H789" s="201"/>
      <c r="J789" s="201"/>
      <c r="K789" s="201"/>
      <c r="L789" s="201"/>
      <c r="M789" s="201"/>
      <c r="N789" s="201"/>
      <c r="O789" s="201"/>
      <c r="P789" s="262"/>
      <c r="Q789" s="262"/>
    </row>
    <row r="790" spans="1:17">
      <c r="A790" s="201"/>
      <c r="B790" s="201"/>
      <c r="C790" s="201"/>
      <c r="D790" s="201"/>
      <c r="E790" s="201"/>
      <c r="F790" s="201"/>
      <c r="G790" s="201"/>
      <c r="H790" s="201"/>
      <c r="J790" s="201"/>
      <c r="K790" s="201"/>
      <c r="L790" s="201"/>
      <c r="M790" s="201"/>
      <c r="N790" s="201"/>
      <c r="O790" s="201"/>
      <c r="P790" s="262"/>
      <c r="Q790" s="262"/>
    </row>
    <row r="791" spans="1:17">
      <c r="A791" s="201"/>
      <c r="B791" s="201"/>
      <c r="C791" s="201"/>
      <c r="D791" s="201"/>
      <c r="E791" s="201"/>
      <c r="F791" s="201"/>
      <c r="G791" s="201"/>
      <c r="H791" s="201"/>
      <c r="J791" s="201"/>
      <c r="K791" s="201"/>
      <c r="L791" s="201"/>
      <c r="M791" s="201"/>
      <c r="N791" s="201"/>
      <c r="O791" s="201"/>
      <c r="P791" s="262"/>
      <c r="Q791" s="262"/>
    </row>
    <row r="792" spans="1:17">
      <c r="A792" s="201"/>
      <c r="B792" s="201"/>
      <c r="C792" s="201"/>
      <c r="D792" s="201"/>
      <c r="E792" s="201"/>
      <c r="F792" s="201"/>
      <c r="G792" s="201"/>
      <c r="H792" s="201"/>
      <c r="J792" s="201"/>
      <c r="K792" s="201"/>
      <c r="L792" s="201"/>
      <c r="M792" s="201"/>
      <c r="N792" s="201"/>
      <c r="O792" s="201"/>
      <c r="P792" s="262"/>
      <c r="Q792" s="262"/>
    </row>
    <row r="793" spans="1:17">
      <c r="A793" s="201"/>
      <c r="B793" s="201"/>
      <c r="C793" s="201"/>
      <c r="D793" s="201"/>
      <c r="E793" s="201"/>
      <c r="F793" s="201"/>
      <c r="G793" s="201"/>
      <c r="H793" s="201"/>
      <c r="J793" s="201"/>
      <c r="K793" s="201"/>
      <c r="L793" s="201"/>
      <c r="M793" s="201"/>
      <c r="N793" s="201"/>
      <c r="O793" s="201"/>
      <c r="P793" s="262"/>
      <c r="Q793" s="262"/>
    </row>
  </sheetData>
  <mergeCells count="86">
    <mergeCell ref="S9:S12"/>
    <mergeCell ref="AU8:AU12"/>
    <mergeCell ref="AV6:AY7"/>
    <mergeCell ref="AV8:AV12"/>
    <mergeCell ref="AW8:AY8"/>
    <mergeCell ref="AW9:AW12"/>
    <mergeCell ref="AX9:AY9"/>
    <mergeCell ref="AX10:AX12"/>
    <mergeCell ref="AY10:AY12"/>
    <mergeCell ref="AS6:AS12"/>
    <mergeCell ref="AT6:AU7"/>
    <mergeCell ref="AT8:AT12"/>
    <mergeCell ref="AB8:AD8"/>
    <mergeCell ref="AE8:AE12"/>
    <mergeCell ref="AF8:AF12"/>
    <mergeCell ref="AO8:AO12"/>
    <mergeCell ref="J9:J12"/>
    <mergeCell ref="AO6:AR7"/>
    <mergeCell ref="AZ6:AZ12"/>
    <mergeCell ref="I8:I12"/>
    <mergeCell ref="P6:Q7"/>
    <mergeCell ref="R6:U7"/>
    <mergeCell ref="J8:K8"/>
    <mergeCell ref="L8:L12"/>
    <mergeCell ref="I6:K7"/>
    <mergeCell ref="W6:Z7"/>
    <mergeCell ref="P8:P12"/>
    <mergeCell ref="L6:M7"/>
    <mergeCell ref="N6:O7"/>
    <mergeCell ref="M8:M12"/>
    <mergeCell ref="N8:N12"/>
    <mergeCell ref="K9:K12"/>
    <mergeCell ref="AZ281:AZ282"/>
    <mergeCell ref="B468:AZ468"/>
    <mergeCell ref="AG6:AH7"/>
    <mergeCell ref="AG8:AG12"/>
    <mergeCell ref="AH8:AH12"/>
    <mergeCell ref="AK6:AN7"/>
    <mergeCell ref="AC9:AD9"/>
    <mergeCell ref="AP9:AP12"/>
    <mergeCell ref="AQ9:AR9"/>
    <mergeCell ref="T10:T12"/>
    <mergeCell ref="U10:U12"/>
    <mergeCell ref="AC10:AC12"/>
    <mergeCell ref="AD10:AD12"/>
    <mergeCell ref="AR10:AR12"/>
    <mergeCell ref="AP8:AR8"/>
    <mergeCell ref="AK8:AK12"/>
    <mergeCell ref="W8:W12"/>
    <mergeCell ref="AL8:AN8"/>
    <mergeCell ref="AL9:AL12"/>
    <mergeCell ref="AM9:AM12"/>
    <mergeCell ref="AN9:AN12"/>
    <mergeCell ref="AB9:AB12"/>
    <mergeCell ref="A1:AZ1"/>
    <mergeCell ref="A2:AZ2"/>
    <mergeCell ref="AA6:AD7"/>
    <mergeCell ref="A6:A12"/>
    <mergeCell ref="B6:B12"/>
    <mergeCell ref="C6:C12"/>
    <mergeCell ref="G6:G12"/>
    <mergeCell ref="H6:H12"/>
    <mergeCell ref="D6:D12"/>
    <mergeCell ref="E6:E12"/>
    <mergeCell ref="F6:F12"/>
    <mergeCell ref="A4:AZ4"/>
    <mergeCell ref="AQ10:AQ12"/>
    <mergeCell ref="AA8:AA12"/>
    <mergeCell ref="O8:O12"/>
    <mergeCell ref="AI8:AI12"/>
    <mergeCell ref="AE6:AF7"/>
    <mergeCell ref="AI6:AJ7"/>
    <mergeCell ref="AZ441:AZ442"/>
    <mergeCell ref="AR5:AZ5"/>
    <mergeCell ref="A3:AZ3"/>
    <mergeCell ref="AJ8:AJ12"/>
    <mergeCell ref="X8:Z8"/>
    <mergeCell ref="X9:X12"/>
    <mergeCell ref="Y9:Z9"/>
    <mergeCell ref="Y10:Y12"/>
    <mergeCell ref="V6:V12"/>
    <mergeCell ref="Z10:Z12"/>
    <mergeCell ref="T9:U9"/>
    <mergeCell ref="Q8:Q12"/>
    <mergeCell ref="R8:R12"/>
    <mergeCell ref="S8:U8"/>
  </mergeCells>
  <hyperlinks>
    <hyperlink ref="I124" r:id="rId1" display="http://113.160.145.177/qlvb/vbpq.nsf/str/15517E5966F76A8947258105004FADEF" xr:uid="{00000000-0004-0000-0000-000000000000}"/>
  </hyperlinks>
  <printOptions horizontalCentered="1"/>
  <pageMargins left="0.39370078740157483" right="0.19685039370078741" top="0.35433070866141736" bottom="0.44" header="0.31496062992125984" footer="0.47"/>
  <pageSetup paperSize="8" scale="6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50"/>
  <sheetViews>
    <sheetView view="pageBreakPreview" topLeftCell="A4" zoomScale="75" zoomScaleNormal="75" zoomScaleSheetLayoutView="75" workbookViewId="0">
      <selection activeCell="F23" sqref="F23"/>
    </sheetView>
  </sheetViews>
  <sheetFormatPr defaultColWidth="8.28515625" defaultRowHeight="15.75"/>
  <cols>
    <col min="1" max="1" width="5" style="473" customWidth="1"/>
    <col min="2" max="2" width="37.140625" style="390" customWidth="1"/>
    <col min="3" max="3" width="8.28515625" style="390" customWidth="1"/>
    <col min="4" max="4" width="13.28515625" style="473" customWidth="1"/>
    <col min="5" max="6" width="10.28515625" style="390" customWidth="1"/>
    <col min="7" max="7" width="9.85546875" style="390" customWidth="1"/>
    <col min="8" max="9" width="10.28515625" style="390" customWidth="1"/>
    <col min="10" max="10" width="10.5703125" style="390" customWidth="1"/>
    <col min="11" max="11" width="13.28515625" style="390" customWidth="1"/>
    <col min="12" max="12" width="12.85546875" style="390" customWidth="1"/>
    <col min="13" max="15" width="8.85546875" style="390" customWidth="1"/>
    <col min="16" max="16" width="8.28515625" style="390" hidden="1" customWidth="1"/>
    <col min="17" max="17" width="0.140625" style="390" hidden="1" customWidth="1"/>
    <col min="18" max="20" width="8.28515625" style="390" hidden="1" customWidth="1"/>
    <col min="21" max="21" width="8.28515625" style="390" customWidth="1"/>
    <col min="22" max="22" width="7.5703125" style="390" customWidth="1"/>
    <col min="23" max="36" width="8.28515625" style="390" customWidth="1"/>
    <col min="37" max="16384" width="8.28515625" style="390"/>
  </cols>
  <sheetData>
    <row r="1" spans="1:20" s="361" customFormat="1" ht="27.75" customHeight="1">
      <c r="A1" s="686" t="s">
        <v>685</v>
      </c>
      <c r="B1" s="686"/>
      <c r="C1" s="686"/>
      <c r="D1" s="686"/>
      <c r="E1" s="686"/>
      <c r="F1" s="686"/>
      <c r="G1" s="686"/>
      <c r="H1" s="686"/>
      <c r="I1" s="686"/>
      <c r="J1" s="686"/>
      <c r="K1" s="686"/>
      <c r="L1" s="686"/>
      <c r="M1" s="686"/>
      <c r="N1" s="686"/>
      <c r="O1" s="686"/>
    </row>
    <row r="2" spans="1:20" s="361" customFormat="1" ht="27.75" customHeight="1">
      <c r="A2" s="686" t="s">
        <v>686</v>
      </c>
      <c r="B2" s="686"/>
      <c r="C2" s="686"/>
      <c r="D2" s="686"/>
      <c r="E2" s="686"/>
      <c r="F2" s="686"/>
      <c r="G2" s="686"/>
      <c r="H2" s="686"/>
      <c r="I2" s="686"/>
      <c r="J2" s="686"/>
      <c r="K2" s="686"/>
      <c r="L2" s="686"/>
      <c r="M2" s="686"/>
      <c r="N2" s="686"/>
      <c r="O2" s="686"/>
    </row>
    <row r="3" spans="1:20" s="361" customFormat="1" ht="24" customHeight="1">
      <c r="A3" s="687" t="s">
        <v>687</v>
      </c>
      <c r="B3" s="687"/>
      <c r="C3" s="687"/>
      <c r="D3" s="687"/>
      <c r="E3" s="687"/>
      <c r="F3" s="687"/>
      <c r="G3" s="687"/>
      <c r="H3" s="687"/>
      <c r="I3" s="687"/>
      <c r="J3" s="687"/>
      <c r="K3" s="687"/>
      <c r="L3" s="687"/>
      <c r="M3" s="687"/>
      <c r="N3" s="687"/>
      <c r="O3" s="687"/>
    </row>
    <row r="5" spans="1:20" s="361" customFormat="1" ht="27" customHeight="1">
      <c r="A5" s="688" t="s">
        <v>4</v>
      </c>
      <c r="B5" s="688" t="s">
        <v>688</v>
      </c>
      <c r="C5" s="688" t="s">
        <v>689</v>
      </c>
      <c r="D5" s="685" t="s">
        <v>690</v>
      </c>
      <c r="E5" s="689" t="s">
        <v>691</v>
      </c>
      <c r="F5" s="690"/>
      <c r="G5" s="690"/>
      <c r="H5" s="690"/>
      <c r="I5" s="690"/>
      <c r="J5" s="690"/>
      <c r="K5" s="690"/>
      <c r="L5" s="690"/>
      <c r="M5" s="690"/>
      <c r="N5" s="690"/>
      <c r="O5" s="691"/>
    </row>
    <row r="6" spans="1:20" s="361" customFormat="1" ht="15.75" customHeight="1">
      <c r="A6" s="688"/>
      <c r="B6" s="688" t="s">
        <v>692</v>
      </c>
      <c r="C6" s="688"/>
      <c r="D6" s="685"/>
      <c r="E6" s="685" t="s">
        <v>693</v>
      </c>
      <c r="F6" s="685" t="s">
        <v>694</v>
      </c>
      <c r="G6" s="685" t="s">
        <v>350</v>
      </c>
      <c r="H6" s="685" t="s">
        <v>601</v>
      </c>
      <c r="I6" s="685" t="s">
        <v>383</v>
      </c>
      <c r="J6" s="685" t="s">
        <v>492</v>
      </c>
      <c r="K6" s="685" t="s">
        <v>471</v>
      </c>
      <c r="L6" s="685" t="s">
        <v>447</v>
      </c>
      <c r="M6" s="685" t="s">
        <v>558</v>
      </c>
      <c r="N6" s="685" t="s">
        <v>536</v>
      </c>
      <c r="O6" s="685" t="s">
        <v>448</v>
      </c>
    </row>
    <row r="7" spans="1:20" s="361" customFormat="1" ht="15.75" customHeight="1">
      <c r="A7" s="688"/>
      <c r="B7" s="688"/>
      <c r="C7" s="688"/>
      <c r="D7" s="685"/>
      <c r="E7" s="685"/>
      <c r="F7" s="685" t="s">
        <v>695</v>
      </c>
      <c r="G7" s="685" t="s">
        <v>696</v>
      </c>
      <c r="H7" s="685" t="s">
        <v>696</v>
      </c>
      <c r="I7" s="685" t="s">
        <v>697</v>
      </c>
      <c r="J7" s="685" t="s">
        <v>698</v>
      </c>
      <c r="K7" s="685" t="s">
        <v>699</v>
      </c>
      <c r="L7" s="685" t="s">
        <v>700</v>
      </c>
      <c r="M7" s="685" t="s">
        <v>700</v>
      </c>
      <c r="N7" s="685" t="s">
        <v>701</v>
      </c>
      <c r="O7" s="685" t="s">
        <v>701</v>
      </c>
      <c r="S7" s="361" t="s">
        <v>311</v>
      </c>
    </row>
    <row r="8" spans="1:20" s="361" customFormat="1" ht="63" customHeight="1">
      <c r="A8" s="688"/>
      <c r="B8" s="688"/>
      <c r="C8" s="688"/>
      <c r="D8" s="685"/>
      <c r="E8" s="685"/>
      <c r="F8" s="685"/>
      <c r="G8" s="685"/>
      <c r="H8" s="685" t="s">
        <v>702</v>
      </c>
      <c r="I8" s="685"/>
      <c r="J8" s="685"/>
      <c r="K8" s="685"/>
      <c r="L8" s="685"/>
      <c r="M8" s="685"/>
      <c r="N8" s="685" t="s">
        <v>703</v>
      </c>
      <c r="O8" s="685" t="s">
        <v>703</v>
      </c>
      <c r="R8" s="362"/>
    </row>
    <row r="9" spans="1:20" s="369" customFormat="1" ht="26.25" customHeight="1">
      <c r="A9" s="363"/>
      <c r="B9" s="364" t="s">
        <v>704</v>
      </c>
      <c r="C9" s="365"/>
      <c r="D9" s="366">
        <f t="shared" ref="D9:O9" si="0">D10+D19+D29+D36+D41</f>
        <v>102.42335</v>
      </c>
      <c r="E9" s="367">
        <f t="shared" si="0"/>
        <v>500.00118829718122</v>
      </c>
      <c r="F9" s="367">
        <f t="shared" si="0"/>
        <v>78.397180383434943</v>
      </c>
      <c r="G9" s="367">
        <f t="shared" si="0"/>
        <v>82.902420342199775</v>
      </c>
      <c r="H9" s="367">
        <f t="shared" si="0"/>
        <v>41.12290742503334</v>
      </c>
      <c r="I9" s="367">
        <f t="shared" si="0"/>
        <v>49.418071043663929</v>
      </c>
      <c r="J9" s="367">
        <f t="shared" si="0"/>
        <v>39.713818105626693</v>
      </c>
      <c r="K9" s="367">
        <f t="shared" si="0"/>
        <v>47.373733993044901</v>
      </c>
      <c r="L9" s="367">
        <f t="shared" si="0"/>
        <v>50.360589013641317</v>
      </c>
      <c r="M9" s="367">
        <f t="shared" si="0"/>
        <v>36.800978395590704</v>
      </c>
      <c r="N9" s="367">
        <f t="shared" si="0"/>
        <v>20.257736675785068</v>
      </c>
      <c r="O9" s="367">
        <f t="shared" si="0"/>
        <v>53.653752919160624</v>
      </c>
      <c r="P9" s="368">
        <f>SUM(F9:O9)</f>
        <v>500.00118829718133</v>
      </c>
      <c r="R9" s="366">
        <f>R10+R19+R29+R36+R41</f>
        <v>499.85513079439409</v>
      </c>
      <c r="S9" s="370">
        <f>500/D9</f>
        <v>4.8816993390667269</v>
      </c>
    </row>
    <row r="10" spans="1:20" s="376" customFormat="1" ht="21.95" customHeight="1">
      <c r="A10" s="363" t="s">
        <v>32</v>
      </c>
      <c r="B10" s="371" t="s">
        <v>705</v>
      </c>
      <c r="C10" s="372" t="s">
        <v>706</v>
      </c>
      <c r="D10" s="366">
        <f>D13+D18</f>
        <v>28.213350000000002</v>
      </c>
      <c r="E10" s="373">
        <f t="shared" ref="E10:O10" si="1">E13+E18</f>
        <v>137.62909204785825</v>
      </c>
      <c r="F10" s="367">
        <f t="shared" si="1"/>
        <v>7.6580399169025917</v>
      </c>
      <c r="G10" s="367">
        <f t="shared" si="1"/>
        <v>25.647676946216691</v>
      </c>
      <c r="H10" s="367">
        <f t="shared" si="1"/>
        <v>17.594767148874407</v>
      </c>
      <c r="I10" s="367">
        <f t="shared" si="1"/>
        <v>22.216563241482067</v>
      </c>
      <c r="J10" s="367">
        <f t="shared" si="1"/>
        <v>14.881858406868425</v>
      </c>
      <c r="K10" s="367">
        <f t="shared" si="1"/>
        <v>12.018081506575736</v>
      </c>
      <c r="L10" s="367">
        <f t="shared" si="1"/>
        <v>10.0766354908094</v>
      </c>
      <c r="M10" s="367">
        <f t="shared" si="1"/>
        <v>12.405946252118632</v>
      </c>
      <c r="N10" s="367">
        <f t="shared" si="1"/>
        <v>2.3573119751121876</v>
      </c>
      <c r="O10" s="367">
        <f t="shared" si="1"/>
        <v>12.77221116289812</v>
      </c>
      <c r="P10" s="374"/>
      <c r="Q10" s="361"/>
      <c r="R10" s="375">
        <f>R13+R18</f>
        <v>137.72909204785824</v>
      </c>
      <c r="S10" s="361"/>
      <c r="T10" s="361"/>
    </row>
    <row r="11" spans="1:20" s="384" customFormat="1" ht="21.95" customHeight="1">
      <c r="A11" s="377">
        <v>1</v>
      </c>
      <c r="B11" s="378" t="s">
        <v>707</v>
      </c>
      <c r="C11" s="377" t="s">
        <v>708</v>
      </c>
      <c r="D11" s="379"/>
      <c r="E11" s="380">
        <f>SUM(F11:O11)</f>
        <v>538069</v>
      </c>
      <c r="F11" s="380">
        <v>53998</v>
      </c>
      <c r="G11" s="380">
        <v>113584</v>
      </c>
      <c r="H11" s="380">
        <v>61158</v>
      </c>
      <c r="I11" s="380">
        <v>79447</v>
      </c>
      <c r="J11" s="380">
        <v>51306</v>
      </c>
      <c r="K11" s="380">
        <v>42380</v>
      </c>
      <c r="L11" s="380">
        <v>35456</v>
      </c>
      <c r="M11" s="380">
        <v>44179</v>
      </c>
      <c r="N11" s="380">
        <v>11007</v>
      </c>
      <c r="O11" s="380">
        <v>45554</v>
      </c>
      <c r="P11" s="381" t="s">
        <v>709</v>
      </c>
      <c r="Q11" s="382"/>
      <c r="R11" s="383"/>
      <c r="S11" s="382"/>
      <c r="T11" s="382"/>
    </row>
    <row r="12" spans="1:20" s="392" customFormat="1" ht="21.95" customHeight="1">
      <c r="A12" s="372"/>
      <c r="B12" s="385" t="s">
        <v>710</v>
      </c>
      <c r="C12" s="372"/>
      <c r="D12" s="386"/>
      <c r="E12" s="387">
        <f>R13/(E11/10000)</f>
        <v>1.010878451552407</v>
      </c>
      <c r="F12" s="387"/>
      <c r="G12" s="387"/>
      <c r="H12" s="387"/>
      <c r="I12" s="387"/>
      <c r="J12" s="387"/>
      <c r="K12" s="387"/>
      <c r="L12" s="387"/>
      <c r="M12" s="387"/>
      <c r="N12" s="387"/>
      <c r="O12" s="388"/>
      <c r="P12" s="389"/>
      <c r="Q12" s="390"/>
      <c r="R12" s="391"/>
      <c r="S12" s="390"/>
      <c r="T12" s="390"/>
    </row>
    <row r="13" spans="1:20" s="392" customFormat="1" ht="21.95" customHeight="1">
      <c r="A13" s="372" t="s">
        <v>711</v>
      </c>
      <c r="B13" s="393" t="s">
        <v>712</v>
      </c>
      <c r="C13" s="372" t="s">
        <v>706</v>
      </c>
      <c r="D13" s="394">
        <f>(E11-500000)/100000*3+10</f>
        <v>11.14207</v>
      </c>
      <c r="E13" s="395">
        <f>SUM(F13:O13)</f>
        <v>54.392235754835212</v>
      </c>
      <c r="F13" s="387">
        <f>F11*E12/10000</f>
        <v>5.4585414626926871</v>
      </c>
      <c r="G13" s="387">
        <f>G11*E12/10000</f>
        <v>11.481961804112858</v>
      </c>
      <c r="H13" s="387">
        <f>H11*E12/10000</f>
        <v>6.1823304340042107</v>
      </c>
      <c r="I13" s="387">
        <f>I11*E12/10000</f>
        <v>8.0311260340484072</v>
      </c>
      <c r="J13" s="387">
        <f>J11*E12/10000</f>
        <v>5.1864129835347788</v>
      </c>
      <c r="K13" s="387">
        <f>K11*E12/10000</f>
        <v>4.2841028776791008</v>
      </c>
      <c r="L13" s="387">
        <f>L11*E12/10000</f>
        <v>3.5841706378242137</v>
      </c>
      <c r="M13" s="387">
        <f>M11*E12/10000</f>
        <v>4.4659599111133783</v>
      </c>
      <c r="N13" s="387">
        <f>N11*E12/10000</f>
        <v>1.1126739116237345</v>
      </c>
      <c r="O13" s="387">
        <f>O11*E12/10000</f>
        <v>4.6049556982018345</v>
      </c>
      <c r="P13" s="389"/>
      <c r="Q13" s="390"/>
      <c r="R13" s="375">
        <f>D13*S9</f>
        <v>54.392235754835205</v>
      </c>
      <c r="S13" s="390"/>
      <c r="T13" s="390"/>
    </row>
    <row r="14" spans="1:20" s="396" customFormat="1" ht="21.95" customHeight="1">
      <c r="A14" s="377">
        <v>2</v>
      </c>
      <c r="B14" s="378" t="s">
        <v>713</v>
      </c>
      <c r="C14" s="377" t="s">
        <v>708</v>
      </c>
      <c r="D14" s="379"/>
      <c r="E14" s="380">
        <f>SUM(F14:O14)</f>
        <v>426782</v>
      </c>
      <c r="F14" s="380">
        <v>11264</v>
      </c>
      <c r="G14" s="380">
        <v>72545</v>
      </c>
      <c r="H14" s="380">
        <v>58445</v>
      </c>
      <c r="I14" s="380">
        <v>72646</v>
      </c>
      <c r="J14" s="380">
        <v>49652</v>
      </c>
      <c r="K14" s="380">
        <v>39607</v>
      </c>
      <c r="L14" s="380">
        <v>33249</v>
      </c>
      <c r="M14" s="380">
        <v>40662</v>
      </c>
      <c r="N14" s="380">
        <v>6374</v>
      </c>
      <c r="O14" s="380">
        <v>42338</v>
      </c>
      <c r="P14" s="381"/>
      <c r="Q14" s="382"/>
      <c r="R14" s="383"/>
      <c r="S14" s="382"/>
      <c r="T14" s="382"/>
    </row>
    <row r="15" spans="1:20" s="397" customFormat="1" ht="21.95" hidden="1" customHeight="1">
      <c r="A15" s="377"/>
      <c r="B15" s="378" t="s">
        <v>714</v>
      </c>
      <c r="C15" s="377"/>
      <c r="D15" s="379"/>
      <c r="E15" s="380"/>
      <c r="F15" s="380">
        <v>11264</v>
      </c>
      <c r="G15" s="380">
        <v>72545</v>
      </c>
      <c r="H15" s="380">
        <v>60993</v>
      </c>
      <c r="I15" s="380">
        <v>71372</v>
      </c>
      <c r="J15" s="380">
        <v>49652</v>
      </c>
      <c r="K15" s="380">
        <v>39607</v>
      </c>
      <c r="L15" s="380">
        <v>33249</v>
      </c>
      <c r="M15" s="380">
        <v>39319</v>
      </c>
      <c r="N15" s="380">
        <v>6374</v>
      </c>
      <c r="O15" s="380"/>
      <c r="P15" s="381"/>
      <c r="Q15" s="382"/>
      <c r="R15" s="383"/>
      <c r="S15" s="382"/>
      <c r="T15" s="382"/>
    </row>
    <row r="16" spans="1:20" s="392" customFormat="1" ht="21.95" customHeight="1">
      <c r="A16" s="372"/>
      <c r="B16" s="385" t="s">
        <v>715</v>
      </c>
      <c r="C16" s="372"/>
      <c r="D16" s="386"/>
      <c r="E16" s="387">
        <f>R18/(E14/10000)</f>
        <v>1.9526797356266912</v>
      </c>
      <c r="F16" s="388"/>
      <c r="G16" s="388"/>
      <c r="H16" s="388"/>
      <c r="I16" s="388"/>
      <c r="J16" s="388"/>
      <c r="K16" s="388"/>
      <c r="L16" s="388"/>
      <c r="M16" s="388"/>
      <c r="N16" s="388"/>
      <c r="O16" s="388"/>
      <c r="P16" s="398"/>
      <c r="Q16" s="390"/>
      <c r="R16" s="391"/>
      <c r="S16" s="390"/>
      <c r="T16" s="390"/>
    </row>
    <row r="17" spans="1:20" s="406" customFormat="1" ht="21.95" customHeight="1">
      <c r="A17" s="399" t="s">
        <v>168</v>
      </c>
      <c r="B17" s="400" t="s">
        <v>716</v>
      </c>
      <c r="C17" s="399" t="s">
        <v>717</v>
      </c>
      <c r="D17" s="401"/>
      <c r="E17" s="402">
        <f>E14/E11*100</f>
        <v>79.317336624113267</v>
      </c>
      <c r="F17" s="402">
        <f t="shared" ref="F17:O17" si="2">F14/F11*100</f>
        <v>20.860031853031593</v>
      </c>
      <c r="G17" s="402">
        <f t="shared" si="2"/>
        <v>63.86903084941541</v>
      </c>
      <c r="H17" s="402">
        <f t="shared" si="2"/>
        <v>95.563949115406004</v>
      </c>
      <c r="I17" s="402">
        <f t="shared" si="2"/>
        <v>91.43957606958098</v>
      </c>
      <c r="J17" s="402">
        <f t="shared" si="2"/>
        <v>96.776205512025882</v>
      </c>
      <c r="K17" s="402">
        <f t="shared" si="2"/>
        <v>93.456819254365257</v>
      </c>
      <c r="L17" s="402">
        <f t="shared" si="2"/>
        <v>93.775383574007222</v>
      </c>
      <c r="M17" s="402">
        <f t="shared" si="2"/>
        <v>92.039204146766565</v>
      </c>
      <c r="N17" s="402">
        <f t="shared" si="2"/>
        <v>57.908603615880807</v>
      </c>
      <c r="O17" s="402">
        <f t="shared" si="2"/>
        <v>92.940246740132594</v>
      </c>
      <c r="P17" s="403"/>
      <c r="Q17" s="404"/>
      <c r="R17" s="405"/>
      <c r="S17" s="404"/>
      <c r="T17" s="404"/>
    </row>
    <row r="18" spans="1:20" s="408" customFormat="1" ht="21.95" customHeight="1">
      <c r="A18" s="372" t="s">
        <v>711</v>
      </c>
      <c r="B18" s="393" t="s">
        <v>712</v>
      </c>
      <c r="C18" s="372" t="s">
        <v>706</v>
      </c>
      <c r="D18" s="394">
        <f>E14/100000*4</f>
        <v>17.071280000000002</v>
      </c>
      <c r="E18" s="395">
        <f>SUM(F18:O18)</f>
        <v>83.236856293023038</v>
      </c>
      <c r="F18" s="407">
        <f>F14*E16/10000</f>
        <v>2.199498454209905</v>
      </c>
      <c r="G18" s="407">
        <f>G14*E16/10000</f>
        <v>14.165715142103831</v>
      </c>
      <c r="H18" s="407">
        <f>H14*E16/10000</f>
        <v>11.412436714870196</v>
      </c>
      <c r="I18" s="407">
        <f>I14*E16/10000</f>
        <v>14.18543720743366</v>
      </c>
      <c r="J18" s="407">
        <f>J14*E16/10000</f>
        <v>9.6954454233336467</v>
      </c>
      <c r="K18" s="407">
        <f>K14*E16/10000</f>
        <v>7.7339786288966348</v>
      </c>
      <c r="L18" s="407">
        <f>L14*E16/10000</f>
        <v>6.4924648529851856</v>
      </c>
      <c r="M18" s="407">
        <f>M14*E16/10000</f>
        <v>7.9399863410052527</v>
      </c>
      <c r="N18" s="407">
        <f>N14*E16/10000</f>
        <v>1.2446380634884531</v>
      </c>
      <c r="O18" s="407">
        <f>O14*E16/10000-0.1</f>
        <v>8.1672554646962858</v>
      </c>
      <c r="P18" s="389"/>
      <c r="Q18" s="390"/>
      <c r="R18" s="375">
        <f>D18*S9</f>
        <v>83.336856293023047</v>
      </c>
      <c r="S18" s="390"/>
      <c r="T18" s="390"/>
    </row>
    <row r="19" spans="1:20" s="410" customFormat="1" ht="21.95" customHeight="1">
      <c r="A19" s="363" t="s">
        <v>48</v>
      </c>
      <c r="B19" s="364" t="s">
        <v>718</v>
      </c>
      <c r="C19" s="372" t="s">
        <v>706</v>
      </c>
      <c r="D19" s="366">
        <f t="shared" ref="D19:O19" si="3">D20+D25</f>
        <v>29.95</v>
      </c>
      <c r="E19" s="409">
        <f t="shared" si="3"/>
        <v>146.36202599944249</v>
      </c>
      <c r="F19" s="367">
        <f t="shared" si="3"/>
        <v>56.419140466532355</v>
      </c>
      <c r="G19" s="367">
        <f t="shared" si="3"/>
        <v>18.747069775342865</v>
      </c>
      <c r="H19" s="367">
        <f t="shared" si="3"/>
        <v>7.7327582761589326</v>
      </c>
      <c r="I19" s="367">
        <f t="shared" si="3"/>
        <v>11.448851802181856</v>
      </c>
      <c r="J19" s="367">
        <f t="shared" si="3"/>
        <v>9.6340696987582675</v>
      </c>
      <c r="K19" s="367">
        <f t="shared" si="3"/>
        <v>10.292471081309113</v>
      </c>
      <c r="L19" s="367">
        <f t="shared" si="3"/>
        <v>10.602656712511809</v>
      </c>
      <c r="M19" s="367">
        <f t="shared" si="3"/>
        <v>9.587992143472075</v>
      </c>
      <c r="N19" s="367">
        <f t="shared" si="3"/>
        <v>3.58042470067288</v>
      </c>
      <c r="O19" s="367">
        <f t="shared" si="3"/>
        <v>8.3165913425023614</v>
      </c>
      <c r="P19" s="381"/>
      <c r="Q19" s="361"/>
      <c r="R19" s="375">
        <f>R20+R25</f>
        <v>146.06202599944254</v>
      </c>
      <c r="S19" s="361"/>
      <c r="T19" s="361"/>
    </row>
    <row r="20" spans="1:20" s="396" customFormat="1" ht="21.95" customHeight="1">
      <c r="A20" s="377">
        <v>1</v>
      </c>
      <c r="B20" s="378" t="s">
        <v>719</v>
      </c>
      <c r="C20" s="372" t="s">
        <v>706</v>
      </c>
      <c r="D20" s="411">
        <v>10.279999999999998</v>
      </c>
      <c r="E20" s="412">
        <f>SUM(F20:O20)</f>
        <v>50.039000000000001</v>
      </c>
      <c r="F20" s="413">
        <f t="shared" ref="F20:S20" si="4">F24</f>
        <v>0.1079</v>
      </c>
      <c r="G20" s="413">
        <f t="shared" si="4"/>
        <v>2.2932000000000001</v>
      </c>
      <c r="H20" s="413">
        <f t="shared" si="4"/>
        <v>6.1944999999999997</v>
      </c>
      <c r="I20" s="413">
        <f t="shared" si="4"/>
        <v>5.886400000000001</v>
      </c>
      <c r="J20" s="413">
        <f t="shared" si="4"/>
        <v>7.1344000000000012</v>
      </c>
      <c r="K20" s="413">
        <f t="shared" si="4"/>
        <v>6.9550000000000001</v>
      </c>
      <c r="L20" s="413">
        <f t="shared" si="4"/>
        <v>7.0317000000000007</v>
      </c>
      <c r="M20" s="413">
        <f t="shared" si="4"/>
        <v>6.1016000000000004</v>
      </c>
      <c r="N20" s="413">
        <f t="shared" si="4"/>
        <v>0.7319</v>
      </c>
      <c r="O20" s="413">
        <f t="shared" si="4"/>
        <v>7.6024000000000003</v>
      </c>
      <c r="P20" s="413">
        <f t="shared" si="4"/>
        <v>0</v>
      </c>
      <c r="Q20" s="413">
        <f t="shared" si="4"/>
        <v>0</v>
      </c>
      <c r="R20" s="413">
        <f>E20</f>
        <v>50.039000000000001</v>
      </c>
      <c r="S20" s="413">
        <f t="shared" si="4"/>
        <v>0</v>
      </c>
      <c r="T20" s="382"/>
    </row>
    <row r="21" spans="1:20" s="392" customFormat="1" ht="21.95" customHeight="1">
      <c r="A21" s="372" t="s">
        <v>711</v>
      </c>
      <c r="B21" s="393" t="s">
        <v>720</v>
      </c>
      <c r="C21" s="372" t="s">
        <v>717</v>
      </c>
      <c r="D21" s="414"/>
      <c r="E21" s="387">
        <v>38.5</v>
      </c>
      <c r="F21" s="387">
        <v>0.83</v>
      </c>
      <c r="G21" s="387">
        <v>17.64</v>
      </c>
      <c r="H21" s="387">
        <v>47.65</v>
      </c>
      <c r="I21" s="387">
        <v>45.28</v>
      </c>
      <c r="J21" s="387">
        <v>54.88</v>
      </c>
      <c r="K21" s="387">
        <v>53.5</v>
      </c>
      <c r="L21" s="387">
        <v>54.09</v>
      </c>
      <c r="M21" s="387">
        <v>42.32</v>
      </c>
      <c r="N21" s="387">
        <v>5.63</v>
      </c>
      <c r="O21" s="387">
        <v>58.48</v>
      </c>
      <c r="P21" s="374"/>
      <c r="Q21" s="390"/>
      <c r="R21" s="391"/>
      <c r="S21" s="390">
        <f>R20/E21</f>
        <v>1.2997142857142858</v>
      </c>
      <c r="T21" s="390"/>
    </row>
    <row r="22" spans="1:20" s="392" customFormat="1" ht="21.95" customHeight="1">
      <c r="A22" s="372"/>
      <c r="B22" s="393" t="s">
        <v>721</v>
      </c>
      <c r="C22" s="372" t="s">
        <v>722</v>
      </c>
      <c r="D22" s="414"/>
      <c r="E22" s="388">
        <f>SUM(F22:O22)</f>
        <v>39422</v>
      </c>
      <c r="F22" s="388">
        <v>112</v>
      </c>
      <c r="G22" s="388">
        <v>4651</v>
      </c>
      <c r="H22" s="388">
        <v>5445</v>
      </c>
      <c r="I22" s="388">
        <v>7425</v>
      </c>
      <c r="J22" s="388">
        <v>5239</v>
      </c>
      <c r="K22" s="388">
        <v>4113</v>
      </c>
      <c r="L22" s="388">
        <v>3690</v>
      </c>
      <c r="M22" s="388">
        <v>3976</v>
      </c>
      <c r="N22" s="388">
        <v>166</v>
      </c>
      <c r="O22" s="388">
        <v>4605</v>
      </c>
      <c r="P22" s="389"/>
      <c r="Q22" s="390"/>
      <c r="R22" s="415">
        <f>R20/E21</f>
        <v>1.2997142857142858</v>
      </c>
      <c r="S22" s="390">
        <f>D22/R20</f>
        <v>0</v>
      </c>
      <c r="T22" s="390"/>
    </row>
    <row r="23" spans="1:20" s="392" customFormat="1" ht="21.95" customHeight="1">
      <c r="A23" s="372"/>
      <c r="B23" s="393" t="s">
        <v>723</v>
      </c>
      <c r="C23" s="372" t="s">
        <v>706</v>
      </c>
      <c r="D23" s="414"/>
      <c r="E23" s="387">
        <v>0.65</v>
      </c>
      <c r="F23" s="388"/>
      <c r="G23" s="388"/>
      <c r="H23" s="388"/>
      <c r="I23" s="388"/>
      <c r="J23" s="388"/>
      <c r="K23" s="388"/>
      <c r="L23" s="388"/>
      <c r="M23" s="388"/>
      <c r="N23" s="388"/>
      <c r="O23" s="388"/>
      <c r="P23" s="389"/>
      <c r="Q23" s="390"/>
      <c r="R23" s="415"/>
      <c r="S23" s="390"/>
      <c r="T23" s="390"/>
    </row>
    <row r="24" spans="1:20" s="392" customFormat="1" ht="21.95" customHeight="1">
      <c r="A24" s="372"/>
      <c r="B24" s="400" t="s">
        <v>724</v>
      </c>
      <c r="C24" s="372" t="s">
        <v>706</v>
      </c>
      <c r="D24" s="414" t="s">
        <v>311</v>
      </c>
      <c r="E24" s="388">
        <f t="shared" ref="E24:E30" si="5">SUM(F24:O24)</f>
        <v>50.039000000000001</v>
      </c>
      <c r="F24" s="387">
        <f>F21/5*0.65</f>
        <v>0.1079</v>
      </c>
      <c r="G24" s="387">
        <f>G21/5*0.65</f>
        <v>2.2932000000000001</v>
      </c>
      <c r="H24" s="387">
        <f t="shared" ref="H24:O24" si="6">H21/5*0.65</f>
        <v>6.1944999999999997</v>
      </c>
      <c r="I24" s="387">
        <f t="shared" si="6"/>
        <v>5.886400000000001</v>
      </c>
      <c r="J24" s="387">
        <f t="shared" si="6"/>
        <v>7.1344000000000012</v>
      </c>
      <c r="K24" s="387">
        <f t="shared" si="6"/>
        <v>6.9550000000000001</v>
      </c>
      <c r="L24" s="387">
        <f t="shared" si="6"/>
        <v>7.0317000000000007</v>
      </c>
      <c r="M24" s="387">
        <f>M21/5*0.65+0.5+0.1</f>
        <v>6.1016000000000004</v>
      </c>
      <c r="N24" s="387">
        <f t="shared" si="6"/>
        <v>0.7319</v>
      </c>
      <c r="O24" s="387">
        <f t="shared" si="6"/>
        <v>7.6024000000000003</v>
      </c>
      <c r="P24" s="389"/>
      <c r="Q24" s="390"/>
      <c r="R24" s="415"/>
      <c r="S24" s="390"/>
      <c r="T24" s="390" t="s">
        <v>311</v>
      </c>
    </row>
    <row r="25" spans="1:20" s="396" customFormat="1" ht="29.25" customHeight="1">
      <c r="A25" s="416">
        <v>2</v>
      </c>
      <c r="B25" s="417" t="s">
        <v>725</v>
      </c>
      <c r="C25" s="416"/>
      <c r="D25" s="411">
        <v>19.670000000000002</v>
      </c>
      <c r="E25" s="418">
        <v>96.323025999442507</v>
      </c>
      <c r="F25" s="418">
        <v>56.311240466532354</v>
      </c>
      <c r="G25" s="418">
        <v>16.453869775342866</v>
      </c>
      <c r="H25" s="418">
        <v>1.5382582761589325</v>
      </c>
      <c r="I25" s="418">
        <v>5.5624518021818545</v>
      </c>
      <c r="J25" s="418">
        <v>2.4996696987582654</v>
      </c>
      <c r="K25" s="418">
        <v>3.3374710813091126</v>
      </c>
      <c r="L25" s="418">
        <v>3.5709567125118076</v>
      </c>
      <c r="M25" s="418">
        <v>3.4863921434720742</v>
      </c>
      <c r="N25" s="418">
        <v>2.84852470067288</v>
      </c>
      <c r="O25" s="418">
        <v>0.71419134250236149</v>
      </c>
      <c r="P25" s="418">
        <v>0</v>
      </c>
      <c r="Q25" s="418">
        <v>0</v>
      </c>
      <c r="R25" s="419">
        <v>96.023025999442524</v>
      </c>
      <c r="S25" s="420"/>
      <c r="T25" s="382"/>
    </row>
    <row r="26" spans="1:20" s="392" customFormat="1" ht="43.5" customHeight="1">
      <c r="A26" s="421" t="s">
        <v>711</v>
      </c>
      <c r="B26" s="422" t="s">
        <v>726</v>
      </c>
      <c r="C26" s="421" t="s">
        <v>727</v>
      </c>
      <c r="D26" s="423"/>
      <c r="E26" s="424">
        <v>349.57000000000005</v>
      </c>
      <c r="F26" s="424">
        <v>205</v>
      </c>
      <c r="G26" s="424">
        <v>59.9</v>
      </c>
      <c r="H26" s="424">
        <v>5.6</v>
      </c>
      <c r="I26" s="424">
        <v>20.25</v>
      </c>
      <c r="J26" s="424">
        <v>9.1</v>
      </c>
      <c r="K26" s="424">
        <v>12.15</v>
      </c>
      <c r="L26" s="424">
        <v>13</v>
      </c>
      <c r="M26" s="424">
        <v>11.6</v>
      </c>
      <c r="N26" s="424">
        <v>10.37</v>
      </c>
      <c r="O26" s="424">
        <v>2.6</v>
      </c>
      <c r="P26" s="425"/>
      <c r="Q26" s="426"/>
      <c r="R26" s="427"/>
      <c r="S26" s="428"/>
      <c r="T26" s="390"/>
    </row>
    <row r="27" spans="1:20" s="392" customFormat="1" ht="43.5" customHeight="1">
      <c r="A27" s="421" t="s">
        <v>711</v>
      </c>
      <c r="B27" s="429" t="s">
        <v>728</v>
      </c>
      <c r="C27" s="421" t="s">
        <v>706</v>
      </c>
      <c r="D27" s="421"/>
      <c r="E27" s="424">
        <v>1.3734448894276183</v>
      </c>
      <c r="F27" s="424"/>
      <c r="G27" s="424"/>
      <c r="H27" s="424"/>
      <c r="I27" s="424"/>
      <c r="J27" s="424"/>
      <c r="K27" s="424"/>
      <c r="L27" s="424"/>
      <c r="M27" s="424"/>
      <c r="N27" s="424"/>
      <c r="O27" s="430"/>
      <c r="P27" s="431"/>
      <c r="Q27" s="426"/>
      <c r="R27" s="427"/>
      <c r="S27" s="426"/>
      <c r="T27" s="390"/>
    </row>
    <row r="28" spans="1:20" s="392" customFormat="1" ht="21.95" customHeight="1">
      <c r="A28" s="421"/>
      <c r="B28" s="432" t="s">
        <v>729</v>
      </c>
      <c r="C28" s="421" t="s">
        <v>730</v>
      </c>
      <c r="D28" s="433">
        <v>19.670000000000002</v>
      </c>
      <c r="E28" s="424">
        <v>96.323025999442507</v>
      </c>
      <c r="F28" s="424">
        <v>56.311240466532354</v>
      </c>
      <c r="G28" s="424">
        <v>16.453869775342866</v>
      </c>
      <c r="H28" s="424">
        <v>1.5382582761589325</v>
      </c>
      <c r="I28" s="424">
        <v>5.5624518021818545</v>
      </c>
      <c r="J28" s="424">
        <v>2.4996696987582654</v>
      </c>
      <c r="K28" s="424">
        <v>3.3374710813091126</v>
      </c>
      <c r="L28" s="424">
        <v>3.5709567125118076</v>
      </c>
      <c r="M28" s="424">
        <v>3.4863921434720742</v>
      </c>
      <c r="N28" s="424">
        <v>2.84852470067288</v>
      </c>
      <c r="O28" s="424">
        <v>0.71419134250236149</v>
      </c>
      <c r="P28" s="431"/>
      <c r="Q28" s="426"/>
      <c r="R28" s="427"/>
      <c r="S28" s="426"/>
      <c r="T28" s="390"/>
    </row>
    <row r="29" spans="1:20" s="376" customFormat="1" ht="29.25" customHeight="1">
      <c r="A29" s="363" t="s">
        <v>180</v>
      </c>
      <c r="B29" s="364" t="s">
        <v>731</v>
      </c>
      <c r="C29" s="372" t="s">
        <v>706</v>
      </c>
      <c r="D29" s="366">
        <f>D35</f>
        <v>16.559999999999999</v>
      </c>
      <c r="E29" s="373">
        <f t="shared" si="5"/>
        <v>80.819285999999991</v>
      </c>
      <c r="F29" s="367">
        <f>F35</f>
        <v>7</v>
      </c>
      <c r="G29" s="367">
        <f t="shared" ref="G29:O29" si="7">G35</f>
        <v>8.7335560000000001</v>
      </c>
      <c r="H29" s="367">
        <f t="shared" si="7"/>
        <v>8.4753819999999997</v>
      </c>
      <c r="I29" s="367">
        <f t="shared" si="7"/>
        <v>8.4326559999999997</v>
      </c>
      <c r="J29" s="367">
        <f t="shared" si="7"/>
        <v>7.8778899999999998</v>
      </c>
      <c r="K29" s="367">
        <f t="shared" si="7"/>
        <v>8.469652</v>
      </c>
      <c r="L29" s="367">
        <f t="shared" si="7"/>
        <v>8.6942380000000004</v>
      </c>
      <c r="M29" s="367">
        <f t="shared" si="7"/>
        <v>7.4870400000000004</v>
      </c>
      <c r="N29" s="367">
        <f t="shared" si="7"/>
        <v>7</v>
      </c>
      <c r="O29" s="367">
        <f t="shared" si="7"/>
        <v>8.648871999999999</v>
      </c>
      <c r="P29" s="374"/>
      <c r="Q29" s="361"/>
      <c r="R29" s="362">
        <f>D29*S9</f>
        <v>80.840941054944992</v>
      </c>
      <c r="S29" s="361"/>
      <c r="T29" s="361"/>
    </row>
    <row r="30" spans="1:20" s="396" customFormat="1" ht="21.95" customHeight="1">
      <c r="A30" s="377">
        <v>1</v>
      </c>
      <c r="B30" s="378" t="s">
        <v>732</v>
      </c>
      <c r="C30" s="377" t="s">
        <v>733</v>
      </c>
      <c r="D30" s="434" t="s">
        <v>311</v>
      </c>
      <c r="E30" s="435">
        <f t="shared" si="5"/>
        <v>956.28699999999992</v>
      </c>
      <c r="F30" s="435">
        <v>6.4269999999999996</v>
      </c>
      <c r="G30" s="435">
        <v>163.92599999999999</v>
      </c>
      <c r="H30" s="435">
        <v>120.89700000000001</v>
      </c>
      <c r="I30" s="435">
        <v>113.776</v>
      </c>
      <c r="J30" s="435">
        <v>68.525999999999996</v>
      </c>
      <c r="K30" s="435">
        <v>119.94199999999999</v>
      </c>
      <c r="L30" s="435">
        <v>157.37299999999999</v>
      </c>
      <c r="M30" s="435">
        <v>44.351999999999997</v>
      </c>
      <c r="N30" s="435">
        <v>11.256</v>
      </c>
      <c r="O30" s="435">
        <v>149.81200000000001</v>
      </c>
      <c r="P30" s="381"/>
      <c r="Q30" s="382"/>
      <c r="R30" s="383"/>
      <c r="S30" s="382"/>
      <c r="T30" s="382"/>
    </row>
    <row r="31" spans="1:20" s="406" customFormat="1" ht="28.5" customHeight="1">
      <c r="A31" s="399"/>
      <c r="B31" s="436" t="s">
        <v>734</v>
      </c>
      <c r="C31" s="437"/>
      <c r="D31" s="438"/>
      <c r="E31" s="439"/>
      <c r="F31" s="439">
        <v>7</v>
      </c>
      <c r="G31" s="439">
        <v>7</v>
      </c>
      <c r="H31" s="439">
        <v>7</v>
      </c>
      <c r="I31" s="439">
        <v>7</v>
      </c>
      <c r="J31" s="439">
        <v>7</v>
      </c>
      <c r="K31" s="439">
        <v>7</v>
      </c>
      <c r="L31" s="439">
        <v>7</v>
      </c>
      <c r="M31" s="439">
        <v>7</v>
      </c>
      <c r="N31" s="439">
        <v>7</v>
      </c>
      <c r="O31" s="439">
        <v>7</v>
      </c>
      <c r="P31" s="403"/>
      <c r="Q31" s="404"/>
      <c r="R31" s="405"/>
      <c r="S31" s="404"/>
      <c r="T31" s="404"/>
    </row>
    <row r="32" spans="1:20" s="406" customFormat="1" ht="46.5" customHeight="1">
      <c r="A32" s="399"/>
      <c r="B32" s="440" t="s">
        <v>735</v>
      </c>
      <c r="C32" s="437"/>
      <c r="D32" s="438"/>
      <c r="E32" s="439"/>
      <c r="F32" s="439"/>
      <c r="G32" s="439">
        <v>0.6</v>
      </c>
      <c r="H32" s="439">
        <v>0.6</v>
      </c>
      <c r="I32" s="439">
        <v>0.6</v>
      </c>
      <c r="J32" s="439">
        <v>0.6</v>
      </c>
      <c r="K32" s="439">
        <v>0.6</v>
      </c>
      <c r="L32" s="439">
        <v>0.6</v>
      </c>
      <c r="M32" s="439">
        <v>0.48704000000000003</v>
      </c>
      <c r="N32" s="439"/>
      <c r="O32" s="439">
        <v>0.6</v>
      </c>
      <c r="P32" s="403"/>
      <c r="Q32" s="404"/>
      <c r="R32" s="405"/>
      <c r="S32" s="404"/>
      <c r="T32" s="404"/>
    </row>
    <row r="33" spans="1:20" s="406" customFormat="1" ht="51.75" customHeight="1">
      <c r="A33" s="399"/>
      <c r="B33" s="440" t="s">
        <v>736</v>
      </c>
      <c r="C33" s="437"/>
      <c r="D33" s="438"/>
      <c r="E33" s="439"/>
      <c r="F33" s="439"/>
      <c r="G33" s="439">
        <v>0.75</v>
      </c>
      <c r="H33" s="439">
        <v>0.75</v>
      </c>
      <c r="I33" s="439">
        <v>0.75</v>
      </c>
      <c r="J33" s="441">
        <v>0.27788999999999991</v>
      </c>
      <c r="K33" s="439">
        <v>0.75</v>
      </c>
      <c r="L33" s="439">
        <v>0.75</v>
      </c>
      <c r="M33" s="439"/>
      <c r="N33" s="439"/>
      <c r="O33" s="439">
        <v>0.75</v>
      </c>
      <c r="P33" s="403"/>
      <c r="Q33" s="404"/>
      <c r="R33" s="405"/>
      <c r="S33" s="404"/>
      <c r="T33" s="404"/>
    </row>
    <row r="34" spans="1:20" s="406" customFormat="1" ht="39.75" customHeight="1">
      <c r="A34" s="399"/>
      <c r="B34" s="440" t="s">
        <v>737</v>
      </c>
      <c r="C34" s="437"/>
      <c r="D34" s="438"/>
      <c r="E34" s="439"/>
      <c r="F34" s="439"/>
      <c r="G34" s="439">
        <f>0.383556</f>
        <v>0.38355600000000001</v>
      </c>
      <c r="H34" s="439">
        <v>0.12538200000000005</v>
      </c>
      <c r="I34" s="439">
        <v>8.2655999999999979E-2</v>
      </c>
      <c r="J34" s="439"/>
      <c r="K34" s="439">
        <v>0.11965199999999995</v>
      </c>
      <c r="L34" s="439">
        <v>0.34423799999999993</v>
      </c>
      <c r="M34" s="439"/>
      <c r="N34" s="439"/>
      <c r="O34" s="439">
        <v>0.29887200000000008</v>
      </c>
      <c r="P34" s="442">
        <f>0.066*(P30-100)/10</f>
        <v>-0.66</v>
      </c>
      <c r="Q34" s="442">
        <f>0.066*(Q30-100)/10</f>
        <v>-0.66</v>
      </c>
      <c r="R34" s="405"/>
      <c r="S34" s="404">
        <f>S9/2</f>
        <v>2.4408496695333635</v>
      </c>
      <c r="T34" s="404"/>
    </row>
    <row r="35" spans="1:20" s="396" customFormat="1" ht="21.95" customHeight="1">
      <c r="A35" s="377"/>
      <c r="B35" s="378" t="s">
        <v>712</v>
      </c>
      <c r="C35" s="377" t="s">
        <v>706</v>
      </c>
      <c r="D35" s="434">
        <f>6+3*2+4.56*1</f>
        <v>16.559999999999999</v>
      </c>
      <c r="E35" s="380">
        <f>SUM(F35:O35)</f>
        <v>80.819285999999991</v>
      </c>
      <c r="F35" s="435">
        <f>SUM(F31:F34)</f>
        <v>7</v>
      </c>
      <c r="G35" s="435">
        <f>SUM(G31:G34)</f>
        <v>8.7335560000000001</v>
      </c>
      <c r="H35" s="435">
        <f t="shared" ref="H35:O35" si="8">SUM(H31:H34)</f>
        <v>8.4753819999999997</v>
      </c>
      <c r="I35" s="435">
        <f t="shared" si="8"/>
        <v>8.4326559999999997</v>
      </c>
      <c r="J35" s="435">
        <f t="shared" si="8"/>
        <v>7.8778899999999998</v>
      </c>
      <c r="K35" s="435">
        <f t="shared" si="8"/>
        <v>8.469652</v>
      </c>
      <c r="L35" s="435">
        <f t="shared" si="8"/>
        <v>8.6942380000000004</v>
      </c>
      <c r="M35" s="435">
        <f t="shared" si="8"/>
        <v>7.4870400000000004</v>
      </c>
      <c r="N35" s="435">
        <f t="shared" si="8"/>
        <v>7</v>
      </c>
      <c r="O35" s="435">
        <f t="shared" si="8"/>
        <v>8.648871999999999</v>
      </c>
      <c r="P35" s="381"/>
      <c r="Q35" s="382"/>
      <c r="R35" s="383"/>
      <c r="S35" s="382"/>
      <c r="T35" s="382"/>
    </row>
    <row r="36" spans="1:20" s="410" customFormat="1" ht="26.25" customHeight="1">
      <c r="A36" s="363" t="s">
        <v>136</v>
      </c>
      <c r="B36" s="364" t="s">
        <v>738</v>
      </c>
      <c r="C36" s="372" t="s">
        <v>706</v>
      </c>
      <c r="D36" s="366">
        <v>19</v>
      </c>
      <c r="E36" s="373">
        <f>SUM(F36:O36)</f>
        <v>92.719999999999985</v>
      </c>
      <c r="F36" s="367">
        <f>F37</f>
        <v>7.32</v>
      </c>
      <c r="G36" s="367">
        <f t="shared" ref="G36:O36" si="9">G37</f>
        <v>12.2</v>
      </c>
      <c r="H36" s="367">
        <f t="shared" si="9"/>
        <v>7.32</v>
      </c>
      <c r="I36" s="367">
        <f t="shared" si="9"/>
        <v>7.32</v>
      </c>
      <c r="J36" s="367">
        <f t="shared" si="9"/>
        <v>7.32</v>
      </c>
      <c r="K36" s="367">
        <f t="shared" si="9"/>
        <v>12.2</v>
      </c>
      <c r="L36" s="367">
        <f t="shared" si="9"/>
        <v>12.2</v>
      </c>
      <c r="M36" s="367">
        <f t="shared" si="9"/>
        <v>7.32</v>
      </c>
      <c r="N36" s="367">
        <f t="shared" si="9"/>
        <v>7.32</v>
      </c>
      <c r="O36" s="367">
        <f t="shared" si="9"/>
        <v>12.2</v>
      </c>
      <c r="P36" s="381"/>
      <c r="Q36" s="361"/>
      <c r="R36" s="362">
        <f>D36*S9</f>
        <v>92.752287442267814</v>
      </c>
      <c r="S36" s="443"/>
      <c r="T36" s="361"/>
    </row>
    <row r="37" spans="1:20" s="396" customFormat="1" ht="21.95" customHeight="1">
      <c r="A37" s="377">
        <v>1</v>
      </c>
      <c r="B37" s="378" t="s">
        <v>739</v>
      </c>
      <c r="C37" s="377"/>
      <c r="D37" s="434" t="s">
        <v>311</v>
      </c>
      <c r="E37" s="380">
        <f>SUM(E38:E40)</f>
        <v>92.72</v>
      </c>
      <c r="F37" s="412">
        <f>F38+F39+F40</f>
        <v>7.32</v>
      </c>
      <c r="G37" s="412">
        <f t="shared" ref="G37:O37" si="10">G38+G39+G40</f>
        <v>12.2</v>
      </c>
      <c r="H37" s="412">
        <f t="shared" si="10"/>
        <v>7.32</v>
      </c>
      <c r="I37" s="412">
        <f t="shared" si="10"/>
        <v>7.32</v>
      </c>
      <c r="J37" s="412">
        <f t="shared" si="10"/>
        <v>7.32</v>
      </c>
      <c r="K37" s="412">
        <f t="shared" si="10"/>
        <v>12.2</v>
      </c>
      <c r="L37" s="412">
        <f t="shared" si="10"/>
        <v>12.2</v>
      </c>
      <c r="M37" s="412">
        <f t="shared" si="10"/>
        <v>7.32</v>
      </c>
      <c r="N37" s="412">
        <f t="shared" si="10"/>
        <v>7.32</v>
      </c>
      <c r="O37" s="412">
        <f t="shared" si="10"/>
        <v>12.2</v>
      </c>
      <c r="P37" s="381"/>
      <c r="Q37" s="382"/>
      <c r="R37" s="383"/>
      <c r="S37" s="382"/>
      <c r="T37" s="382"/>
    </row>
    <row r="38" spans="1:20" s="392" customFormat="1" ht="24.75" customHeight="1">
      <c r="A38" s="372"/>
      <c r="B38" s="444" t="s">
        <v>740</v>
      </c>
      <c r="C38" s="445" t="s">
        <v>706</v>
      </c>
      <c r="D38" s="372">
        <v>10</v>
      </c>
      <c r="E38" s="446">
        <f t="shared" ref="E38:E43" si="11">SUM(F38:O38)</f>
        <v>48.800000000000004</v>
      </c>
      <c r="F38" s="387">
        <v>4.88</v>
      </c>
      <c r="G38" s="387">
        <v>4.88</v>
      </c>
      <c r="H38" s="387">
        <v>4.88</v>
      </c>
      <c r="I38" s="387">
        <v>4.88</v>
      </c>
      <c r="J38" s="387">
        <v>4.88</v>
      </c>
      <c r="K38" s="387">
        <v>4.88</v>
      </c>
      <c r="L38" s="387">
        <v>4.88</v>
      </c>
      <c r="M38" s="387">
        <v>4.88</v>
      </c>
      <c r="N38" s="387">
        <v>4.88</v>
      </c>
      <c r="O38" s="387">
        <v>4.88</v>
      </c>
      <c r="P38" s="389"/>
      <c r="Q38" s="390"/>
      <c r="R38" s="391"/>
      <c r="S38" s="390"/>
      <c r="T38" s="390"/>
    </row>
    <row r="39" spans="1:20" s="392" customFormat="1" ht="21.95" customHeight="1">
      <c r="A39" s="372"/>
      <c r="B39" s="393" t="s">
        <v>741</v>
      </c>
      <c r="C39" s="445" t="s">
        <v>706</v>
      </c>
      <c r="D39" s="386">
        <v>5</v>
      </c>
      <c r="E39" s="387">
        <f t="shared" si="11"/>
        <v>24.400000000000002</v>
      </c>
      <c r="F39" s="387">
        <v>2.44</v>
      </c>
      <c r="G39" s="387">
        <v>2.44</v>
      </c>
      <c r="H39" s="387">
        <v>2.44</v>
      </c>
      <c r="I39" s="387">
        <v>2.44</v>
      </c>
      <c r="J39" s="387">
        <v>2.44</v>
      </c>
      <c r="K39" s="387">
        <v>2.44</v>
      </c>
      <c r="L39" s="387">
        <v>2.44</v>
      </c>
      <c r="M39" s="387">
        <v>2.44</v>
      </c>
      <c r="N39" s="387">
        <v>2.44</v>
      </c>
      <c r="O39" s="387">
        <v>2.44</v>
      </c>
      <c r="P39" s="389"/>
      <c r="Q39" s="390"/>
      <c r="R39" s="391"/>
      <c r="S39" s="390" t="s">
        <v>311</v>
      </c>
      <c r="T39" s="390"/>
    </row>
    <row r="40" spans="1:20" s="392" customFormat="1" ht="21.95" customHeight="1">
      <c r="A40" s="372"/>
      <c r="B40" s="393" t="s">
        <v>742</v>
      </c>
      <c r="C40" s="445" t="s">
        <v>706</v>
      </c>
      <c r="D40" s="386">
        <v>4</v>
      </c>
      <c r="E40" s="387">
        <f>SUM(F40:O40)</f>
        <v>19.52</v>
      </c>
      <c r="F40" s="412"/>
      <c r="G40" s="387">
        <v>4.88</v>
      </c>
      <c r="H40" s="446"/>
      <c r="I40" s="446"/>
      <c r="J40" s="446"/>
      <c r="K40" s="387">
        <v>4.88</v>
      </c>
      <c r="L40" s="387">
        <v>4.88</v>
      </c>
      <c r="M40" s="446"/>
      <c r="N40" s="446"/>
      <c r="O40" s="387">
        <v>4.88</v>
      </c>
      <c r="P40" s="389"/>
      <c r="Q40" s="390"/>
      <c r="R40" s="391" t="s">
        <v>311</v>
      </c>
      <c r="S40" s="390"/>
      <c r="T40" s="390"/>
    </row>
    <row r="41" spans="1:20" s="410" customFormat="1" ht="29.25" customHeight="1">
      <c r="A41" s="363" t="s">
        <v>138</v>
      </c>
      <c r="B41" s="364" t="s">
        <v>743</v>
      </c>
      <c r="C41" s="363"/>
      <c r="D41" s="366">
        <f>D42+D45</f>
        <v>8.6999999999999993</v>
      </c>
      <c r="E41" s="367">
        <f>SUM(F41:O41)</f>
        <v>42.470784249880523</v>
      </c>
      <c r="F41" s="367">
        <f t="shared" ref="F41:O41" si="12">F42+F46</f>
        <v>0</v>
      </c>
      <c r="G41" s="367">
        <f t="shared" si="12"/>
        <v>17.574117620640216</v>
      </c>
      <c r="H41" s="367">
        <f t="shared" si="12"/>
        <v>0</v>
      </c>
      <c r="I41" s="367">
        <f t="shared" si="12"/>
        <v>0</v>
      </c>
      <c r="J41" s="367">
        <f t="shared" si="12"/>
        <v>0</v>
      </c>
      <c r="K41" s="367">
        <f t="shared" si="12"/>
        <v>4.393529405160054</v>
      </c>
      <c r="L41" s="367">
        <f t="shared" si="12"/>
        <v>8.7870588103201079</v>
      </c>
      <c r="M41" s="367">
        <f t="shared" si="12"/>
        <v>0</v>
      </c>
      <c r="N41" s="367">
        <f t="shared" si="12"/>
        <v>0</v>
      </c>
      <c r="O41" s="367">
        <f t="shared" si="12"/>
        <v>11.716078413760144</v>
      </c>
      <c r="P41" s="374"/>
      <c r="Q41" s="361"/>
      <c r="R41" s="443">
        <f>D41*S9</f>
        <v>42.470784249880523</v>
      </c>
      <c r="S41" s="361"/>
      <c r="T41" s="361"/>
    </row>
    <row r="42" spans="1:20" s="396" customFormat="1" ht="21.95" customHeight="1">
      <c r="A42" s="377">
        <v>1</v>
      </c>
      <c r="B42" s="378" t="s">
        <v>744</v>
      </c>
      <c r="C42" s="377" t="s">
        <v>706</v>
      </c>
      <c r="D42" s="434">
        <v>8.6999999999999993</v>
      </c>
      <c r="E42" s="412">
        <f>SUM(F42:O42)</f>
        <v>42.470784249880523</v>
      </c>
      <c r="F42" s="412">
        <f>F43</f>
        <v>0</v>
      </c>
      <c r="G42" s="412">
        <f>G44</f>
        <v>17.574117620640216</v>
      </c>
      <c r="H42" s="412">
        <f t="shared" ref="H42:O42" si="13">H44</f>
        <v>0</v>
      </c>
      <c r="I42" s="412">
        <f t="shared" si="13"/>
        <v>0</v>
      </c>
      <c r="J42" s="412">
        <f t="shared" si="13"/>
        <v>0</v>
      </c>
      <c r="K42" s="412">
        <f t="shared" si="13"/>
        <v>4.393529405160054</v>
      </c>
      <c r="L42" s="412">
        <f t="shared" si="13"/>
        <v>8.7870588103201079</v>
      </c>
      <c r="M42" s="412">
        <f t="shared" si="13"/>
        <v>0</v>
      </c>
      <c r="N42" s="412">
        <f t="shared" si="13"/>
        <v>0</v>
      </c>
      <c r="O42" s="412">
        <f t="shared" si="13"/>
        <v>11.716078413760144</v>
      </c>
      <c r="P42" s="381"/>
      <c r="Q42" s="382"/>
      <c r="R42" s="405">
        <f>D42*S9</f>
        <v>42.470784249880523</v>
      </c>
      <c r="S42" s="382"/>
      <c r="T42" s="382"/>
    </row>
    <row r="43" spans="1:20" s="392" customFormat="1" ht="21.95" customHeight="1">
      <c r="A43" s="372"/>
      <c r="B43" s="393" t="s">
        <v>745</v>
      </c>
      <c r="C43" s="372" t="s">
        <v>706</v>
      </c>
      <c r="D43" s="394"/>
      <c r="E43" s="446">
        <f t="shared" si="11"/>
        <v>29</v>
      </c>
      <c r="F43" s="388">
        <v>0</v>
      </c>
      <c r="G43" s="446">
        <v>12</v>
      </c>
      <c r="H43" s="388">
        <v>0</v>
      </c>
      <c r="I43" s="388">
        <v>0</v>
      </c>
      <c r="J43" s="388">
        <v>0</v>
      </c>
      <c r="K43" s="446">
        <v>3</v>
      </c>
      <c r="L43" s="446">
        <v>6</v>
      </c>
      <c r="M43" s="446">
        <v>0</v>
      </c>
      <c r="N43" s="446">
        <v>0</v>
      </c>
      <c r="O43" s="446">
        <v>8</v>
      </c>
      <c r="P43" s="389"/>
      <c r="Q43" s="390"/>
      <c r="R43" s="391"/>
      <c r="S43" s="390"/>
      <c r="T43" s="390"/>
    </row>
    <row r="44" spans="1:20" s="392" customFormat="1" ht="21.95" customHeight="1">
      <c r="A44" s="372"/>
      <c r="B44" s="393" t="s">
        <v>746</v>
      </c>
      <c r="C44" s="372" t="s">
        <v>706</v>
      </c>
      <c r="D44" s="394">
        <f>E44/29</f>
        <v>1.464509801720018</v>
      </c>
      <c r="E44" s="387">
        <f>SUM(F44:O44)</f>
        <v>42.470784249880523</v>
      </c>
      <c r="F44" s="446"/>
      <c r="G44" s="446">
        <f>12*S44</f>
        <v>17.574117620640216</v>
      </c>
      <c r="H44" s="446"/>
      <c r="I44" s="446"/>
      <c r="J44" s="446"/>
      <c r="K44" s="446">
        <f>3*S44</f>
        <v>4.393529405160054</v>
      </c>
      <c r="L44" s="446">
        <f>6*S44</f>
        <v>8.7870588103201079</v>
      </c>
      <c r="M44" s="446"/>
      <c r="N44" s="446"/>
      <c r="O44" s="446">
        <f>8*S44</f>
        <v>11.716078413760144</v>
      </c>
      <c r="P44" s="389"/>
      <c r="Q44" s="390"/>
      <c r="R44" s="391"/>
      <c r="S44" s="390">
        <f>S45/29</f>
        <v>1.464509801720018</v>
      </c>
      <c r="T44" s="390"/>
    </row>
    <row r="45" spans="1:20" s="396" customFormat="1" ht="33" hidden="1" customHeight="1">
      <c r="A45" s="377">
        <v>2</v>
      </c>
      <c r="B45" s="447" t="s">
        <v>747</v>
      </c>
      <c r="C45" s="377"/>
      <c r="D45" s="434"/>
      <c r="E45" s="435"/>
      <c r="F45" s="435"/>
      <c r="G45" s="435"/>
      <c r="H45" s="435"/>
      <c r="I45" s="435"/>
      <c r="J45" s="435"/>
      <c r="K45" s="435"/>
      <c r="L45" s="435"/>
      <c r="M45" s="435"/>
      <c r="N45" s="435"/>
      <c r="O45" s="412"/>
      <c r="P45" s="381"/>
      <c r="Q45" s="382"/>
      <c r="R45" s="448">
        <f>R41-R42</f>
        <v>0</v>
      </c>
      <c r="S45" s="448">
        <f>R41-R45</f>
        <v>42.470784249880523</v>
      </c>
      <c r="T45" s="382"/>
    </row>
    <row r="46" spans="1:20" s="392" customFormat="1" ht="26.1" hidden="1" customHeight="1">
      <c r="A46" s="372"/>
      <c r="B46" s="393" t="s">
        <v>748</v>
      </c>
      <c r="C46" s="372" t="s">
        <v>706</v>
      </c>
      <c r="D46" s="394"/>
      <c r="E46" s="387">
        <f>F46</f>
        <v>0</v>
      </c>
      <c r="F46" s="446"/>
      <c r="G46" s="388"/>
      <c r="H46" s="388"/>
      <c r="I46" s="388"/>
      <c r="J46" s="388"/>
      <c r="K46" s="388"/>
      <c r="L46" s="388"/>
      <c r="M46" s="388"/>
      <c r="N46" s="388"/>
      <c r="O46" s="388"/>
      <c r="P46" s="389"/>
      <c r="Q46" s="390"/>
      <c r="R46" s="391"/>
      <c r="S46" s="390"/>
      <c r="T46" s="390"/>
    </row>
    <row r="47" spans="1:20" s="454" customFormat="1" ht="42" hidden="1" customHeight="1">
      <c r="A47" s="363" t="s">
        <v>183</v>
      </c>
      <c r="B47" s="449" t="s">
        <v>749</v>
      </c>
      <c r="C47" s="364"/>
      <c r="D47" s="450"/>
      <c r="E47" s="409">
        <v>602300</v>
      </c>
      <c r="F47" s="380">
        <f>E47/100*110</f>
        <v>662530</v>
      </c>
      <c r="G47" s="380">
        <f>F47/100*110</f>
        <v>728783</v>
      </c>
      <c r="H47" s="380">
        <f>G47/100*110</f>
        <v>801661.3</v>
      </c>
      <c r="I47" s="380">
        <f>H47/100*110</f>
        <v>881827.43</v>
      </c>
      <c r="J47" s="380">
        <f>SUM(E47:I47)</f>
        <v>3677101.73</v>
      </c>
      <c r="K47" s="380">
        <v>3459392</v>
      </c>
      <c r="L47" s="409">
        <f>K47-K48-K52</f>
        <v>3068637</v>
      </c>
      <c r="M47" s="409"/>
      <c r="N47" s="409"/>
      <c r="O47" s="409"/>
      <c r="P47" s="451"/>
      <c r="Q47" s="452"/>
      <c r="R47" s="453"/>
      <c r="S47" s="452"/>
      <c r="T47" s="452"/>
    </row>
    <row r="48" spans="1:20" s="458" customFormat="1" ht="30" hidden="1" customHeight="1">
      <c r="A48" s="377">
        <v>1</v>
      </c>
      <c r="B48" s="378" t="s">
        <v>750</v>
      </c>
      <c r="C48" s="377" t="s">
        <v>751</v>
      </c>
      <c r="D48" s="377"/>
      <c r="E48" s="380">
        <v>84594</v>
      </c>
      <c r="F48" s="380">
        <f>E48</f>
        <v>84594</v>
      </c>
      <c r="G48" s="380">
        <f>F48</f>
        <v>84594</v>
      </c>
      <c r="H48" s="380">
        <f>G48-10000</f>
        <v>74594</v>
      </c>
      <c r="I48" s="380">
        <f>H48-10062</f>
        <v>64532</v>
      </c>
      <c r="J48" s="380">
        <f>312908+80000</f>
        <v>392908</v>
      </c>
      <c r="K48" s="380">
        <v>312908</v>
      </c>
      <c r="L48" s="380"/>
      <c r="M48" s="413"/>
      <c r="N48" s="413"/>
      <c r="O48" s="380"/>
      <c r="P48" s="455"/>
      <c r="Q48" s="456"/>
      <c r="R48" s="457"/>
      <c r="S48" s="456"/>
      <c r="T48" s="456"/>
    </row>
    <row r="49" spans="1:20" s="458" customFormat="1" ht="28.5" hidden="1" customHeight="1">
      <c r="A49" s="377">
        <v>2</v>
      </c>
      <c r="B49" s="378" t="s">
        <v>169</v>
      </c>
      <c r="C49" s="377" t="s">
        <v>751</v>
      </c>
      <c r="D49" s="459">
        <v>0.02</v>
      </c>
      <c r="E49" s="380">
        <v>10353</v>
      </c>
      <c r="F49" s="380">
        <f>E49/100*110</f>
        <v>11388.3</v>
      </c>
      <c r="G49" s="380">
        <f>F49/100*110</f>
        <v>12527.13</v>
      </c>
      <c r="H49" s="380">
        <f>G49/100*110</f>
        <v>13779.842999999999</v>
      </c>
      <c r="I49" s="380">
        <f>H49/100*110</f>
        <v>15157.827299999999</v>
      </c>
      <c r="J49" s="380">
        <f>SUM(E49:I49)</f>
        <v>63206.100299999998</v>
      </c>
      <c r="K49" s="380"/>
      <c r="L49" s="413" t="s">
        <v>311</v>
      </c>
      <c r="M49" s="413"/>
      <c r="N49" s="413"/>
      <c r="O49" s="380"/>
      <c r="P49" s="455"/>
      <c r="Q49" s="456"/>
      <c r="R49" s="457"/>
      <c r="S49" s="456"/>
      <c r="T49" s="456"/>
    </row>
    <row r="50" spans="1:20" s="458" customFormat="1" ht="27.75" hidden="1" customHeight="1">
      <c r="A50" s="377">
        <v>3</v>
      </c>
      <c r="B50" s="378" t="s">
        <v>752</v>
      </c>
      <c r="C50" s="377" t="s">
        <v>751</v>
      </c>
      <c r="D50" s="459">
        <v>0.05</v>
      </c>
      <c r="E50" s="380">
        <f>E47*D50</f>
        <v>30115</v>
      </c>
      <c r="F50" s="380">
        <f t="shared" ref="F50:I54" si="14">E50/100*110</f>
        <v>33126.5</v>
      </c>
      <c r="G50" s="380">
        <f t="shared" si="14"/>
        <v>36439.15</v>
      </c>
      <c r="H50" s="380">
        <f t="shared" si="14"/>
        <v>40083.065000000002</v>
      </c>
      <c r="I50" s="380">
        <f t="shared" si="14"/>
        <v>44091.371500000008</v>
      </c>
      <c r="J50" s="380">
        <f>SUM(E50:I50)</f>
        <v>183855.0865</v>
      </c>
      <c r="K50" s="380">
        <f>L47/100*5</f>
        <v>153431.85</v>
      </c>
      <c r="L50" s="380">
        <f>L47/100*5</f>
        <v>153431.85</v>
      </c>
      <c r="M50" s="380"/>
      <c r="N50" s="380"/>
      <c r="O50" s="380">
        <f>L50-K50</f>
        <v>0</v>
      </c>
      <c r="P50" s="455"/>
      <c r="Q50" s="456"/>
      <c r="R50" s="457"/>
      <c r="S50" s="456"/>
      <c r="T50" s="456"/>
    </row>
    <row r="51" spans="1:20" s="458" customFormat="1" ht="32.25" hidden="1" customHeight="1">
      <c r="A51" s="377">
        <v>4</v>
      </c>
      <c r="B51" s="378" t="s">
        <v>753</v>
      </c>
      <c r="C51" s="377" t="s">
        <v>751</v>
      </c>
      <c r="D51" s="459"/>
      <c r="E51" s="380">
        <v>9010</v>
      </c>
      <c r="F51" s="380">
        <f t="shared" si="14"/>
        <v>9911</v>
      </c>
      <c r="G51" s="380">
        <f t="shared" si="14"/>
        <v>10902.1</v>
      </c>
      <c r="H51" s="380">
        <f t="shared" si="14"/>
        <v>11992.31</v>
      </c>
      <c r="I51" s="380">
        <f t="shared" si="14"/>
        <v>13191.540999999999</v>
      </c>
      <c r="J51" s="380">
        <f>SUM(E51:I51)</f>
        <v>55006.950999999994</v>
      </c>
      <c r="K51" s="380">
        <v>54722</v>
      </c>
      <c r="L51" s="413">
        <f>E51/E47*100</f>
        <v>1.4959322596712601</v>
      </c>
      <c r="M51" s="413"/>
      <c r="N51" s="413"/>
      <c r="O51" s="380"/>
      <c r="P51" s="451"/>
      <c r="Q51" s="456"/>
      <c r="R51" s="457"/>
      <c r="S51" s="456"/>
      <c r="T51" s="456"/>
    </row>
    <row r="52" spans="1:20" s="458" customFormat="1" ht="30" hidden="1" customHeight="1">
      <c r="A52" s="377">
        <v>5</v>
      </c>
      <c r="B52" s="378" t="s">
        <v>754</v>
      </c>
      <c r="C52" s="377" t="s">
        <v>751</v>
      </c>
      <c r="D52" s="459"/>
      <c r="E52" s="380">
        <v>12750</v>
      </c>
      <c r="F52" s="380">
        <f t="shared" si="14"/>
        <v>14025</v>
      </c>
      <c r="G52" s="380">
        <f t="shared" si="14"/>
        <v>15427.5</v>
      </c>
      <c r="H52" s="380">
        <f t="shared" si="14"/>
        <v>16970.25</v>
      </c>
      <c r="I52" s="380">
        <f t="shared" si="14"/>
        <v>18667.274999999998</v>
      </c>
      <c r="J52" s="380">
        <v>77847</v>
      </c>
      <c r="K52" s="380">
        <f>J52</f>
        <v>77847</v>
      </c>
      <c r="L52" s="413"/>
      <c r="M52" s="413"/>
      <c r="N52" s="413"/>
      <c r="O52" s="380"/>
      <c r="P52" s="451"/>
      <c r="Q52" s="456"/>
      <c r="R52" s="457"/>
      <c r="S52" s="456"/>
      <c r="T52" s="456"/>
    </row>
    <row r="53" spans="1:20" s="458" customFormat="1" ht="37.5" hidden="1" customHeight="1">
      <c r="A53" s="377">
        <v>6</v>
      </c>
      <c r="B53" s="460" t="s">
        <v>755</v>
      </c>
      <c r="C53" s="377" t="s">
        <v>751</v>
      </c>
      <c r="D53" s="459">
        <v>0.2</v>
      </c>
      <c r="E53" s="380">
        <f>E47*D53</f>
        <v>120460</v>
      </c>
      <c r="F53" s="380">
        <f t="shared" si="14"/>
        <v>132506</v>
      </c>
      <c r="G53" s="380">
        <f t="shared" si="14"/>
        <v>145756.6</v>
      </c>
      <c r="H53" s="380">
        <f t="shared" si="14"/>
        <v>160332.26</v>
      </c>
      <c r="I53" s="380">
        <f t="shared" si="14"/>
        <v>176365.48600000003</v>
      </c>
      <c r="J53" s="380">
        <f>SUM(E53:I53)</f>
        <v>735420.34600000002</v>
      </c>
      <c r="K53" s="380">
        <f>L47/100*20</f>
        <v>613727.4</v>
      </c>
      <c r="L53" s="413"/>
      <c r="M53" s="413"/>
      <c r="N53" s="413"/>
      <c r="O53" s="380"/>
      <c r="P53" s="455"/>
      <c r="Q53" s="456"/>
      <c r="R53" s="457"/>
      <c r="S53" s="456"/>
      <c r="T53" s="456"/>
    </row>
    <row r="54" spans="1:20" s="458" customFormat="1" ht="30.75" hidden="1" customHeight="1">
      <c r="A54" s="377">
        <v>7</v>
      </c>
      <c r="B54" s="460" t="s">
        <v>756</v>
      </c>
      <c r="C54" s="377" t="s">
        <v>751</v>
      </c>
      <c r="D54" s="459">
        <v>0.1</v>
      </c>
      <c r="E54" s="380">
        <f>E47*10%</f>
        <v>60230</v>
      </c>
      <c r="F54" s="380">
        <f t="shared" si="14"/>
        <v>66253</v>
      </c>
      <c r="G54" s="380">
        <f t="shared" si="14"/>
        <v>72878.3</v>
      </c>
      <c r="H54" s="380">
        <f t="shared" si="14"/>
        <v>80166.13</v>
      </c>
      <c r="I54" s="380">
        <f t="shared" si="14"/>
        <v>88182.743000000017</v>
      </c>
      <c r="J54" s="380">
        <f>SUM(E54:I54)+15</f>
        <v>367725.17300000001</v>
      </c>
      <c r="K54" s="380"/>
      <c r="L54" s="413"/>
      <c r="M54" s="413"/>
      <c r="N54" s="413"/>
      <c r="O54" s="380"/>
      <c r="P54" s="455"/>
      <c r="Q54" s="456"/>
      <c r="R54" s="456"/>
      <c r="S54" s="456"/>
      <c r="T54" s="456"/>
    </row>
    <row r="55" spans="1:20" s="458" customFormat="1" ht="33" hidden="1" customHeight="1">
      <c r="A55" s="377"/>
      <c r="B55" s="461" t="s">
        <v>757</v>
      </c>
      <c r="C55" s="377"/>
      <c r="D55" s="459"/>
      <c r="E55" s="380">
        <f t="shared" ref="E55:J55" si="15">E48+E49+E50+E51+E52+E53+E54</f>
        <v>327512</v>
      </c>
      <c r="F55" s="380">
        <f t="shared" si="15"/>
        <v>351803.8</v>
      </c>
      <c r="G55" s="380">
        <f t="shared" si="15"/>
        <v>378524.77999999997</v>
      </c>
      <c r="H55" s="380">
        <f t="shared" si="15"/>
        <v>397917.85800000001</v>
      </c>
      <c r="I55" s="380">
        <f t="shared" si="15"/>
        <v>420188.24380000005</v>
      </c>
      <c r="J55" s="380">
        <f t="shared" si="15"/>
        <v>1875968.6568</v>
      </c>
      <c r="K55" s="380">
        <f>SUM(K48:K54)</f>
        <v>1212636.25</v>
      </c>
      <c r="L55" s="413"/>
      <c r="M55" s="413"/>
      <c r="N55" s="413"/>
      <c r="O55" s="380"/>
      <c r="P55" s="455"/>
      <c r="Q55" s="456"/>
      <c r="R55" s="456"/>
      <c r="S55" s="456"/>
      <c r="T55" s="456"/>
    </row>
    <row r="56" spans="1:20" s="458" customFormat="1" ht="42" hidden="1" customHeight="1">
      <c r="A56" s="377"/>
      <c r="B56" s="461" t="s">
        <v>758</v>
      </c>
      <c r="C56" s="377"/>
      <c r="D56" s="459"/>
      <c r="E56" s="380">
        <f>E55*(1+(1.1+1.1^2+1.1^3+1.1^4))</f>
        <v>1999493.5112000003</v>
      </c>
      <c r="F56" s="380">
        <f>F55*(1+(1.1+1.1^2+1.1^3+1.1^4))</f>
        <v>2147797.3793800003</v>
      </c>
      <c r="G56" s="380">
        <f>G55*(1+(1.1+1.1^2+1.1^3+1.1^4))</f>
        <v>2310931.6343780002</v>
      </c>
      <c r="H56" s="380">
        <f>H55*(1+(1.1+1.1^2+1.1^3+1.1^4))</f>
        <v>2429328.3148758006</v>
      </c>
      <c r="I56" s="380">
        <f>I55*(1+(1.1+1.1^2+1.1^3+1.1^4))</f>
        <v>2565291.247223381</v>
      </c>
      <c r="J56" s="380">
        <f>E66+J55</f>
        <v>5478235.0406654123</v>
      </c>
      <c r="K56" s="380">
        <f>K47-K55</f>
        <v>2246755.75</v>
      </c>
      <c r="L56" s="413"/>
      <c r="M56" s="413"/>
      <c r="N56" s="413"/>
      <c r="O56" s="380"/>
      <c r="P56" s="455"/>
      <c r="Q56" s="456"/>
      <c r="R56" s="456"/>
      <c r="S56" s="456"/>
      <c r="T56" s="456"/>
    </row>
    <row r="57" spans="1:20" s="458" customFormat="1" ht="31.5" hidden="1" customHeight="1">
      <c r="A57" s="377">
        <v>8</v>
      </c>
      <c r="B57" s="378" t="s">
        <v>759</v>
      </c>
      <c r="C57" s="378"/>
      <c r="D57" s="377"/>
      <c r="E57" s="380">
        <f t="shared" ref="E57:J57" si="16">E47-E55</f>
        <v>274788</v>
      </c>
      <c r="F57" s="380">
        <f t="shared" si="16"/>
        <v>310726.2</v>
      </c>
      <c r="G57" s="380">
        <f t="shared" si="16"/>
        <v>350258.22000000003</v>
      </c>
      <c r="H57" s="380">
        <f t="shared" si="16"/>
        <v>403743.44200000004</v>
      </c>
      <c r="I57" s="380">
        <f t="shared" si="16"/>
        <v>461639.1862</v>
      </c>
      <c r="J57" s="380">
        <f t="shared" si="16"/>
        <v>1801133.0732</v>
      </c>
      <c r="K57" s="380">
        <f>SUM(E57:I57)</f>
        <v>1801155.0482000001</v>
      </c>
      <c r="L57" s="380"/>
      <c r="M57" s="380"/>
      <c r="N57" s="380"/>
      <c r="O57" s="380"/>
      <c r="P57" s="451"/>
      <c r="Q57" s="456"/>
      <c r="R57" s="456"/>
      <c r="S57" s="456"/>
      <c r="T57" s="456"/>
    </row>
    <row r="58" spans="1:20" s="464" customFormat="1" ht="21.95" hidden="1" customHeight="1">
      <c r="A58" s="372" t="s">
        <v>760</v>
      </c>
      <c r="B58" s="393" t="s">
        <v>761</v>
      </c>
      <c r="C58" s="372" t="s">
        <v>706</v>
      </c>
      <c r="D58" s="394">
        <f>D9</f>
        <v>102.42335</v>
      </c>
      <c r="E58" s="446">
        <f>SUM(F58:O58)</f>
        <v>500.00118829718133</v>
      </c>
      <c r="F58" s="387">
        <f t="shared" ref="F58:O58" si="17">F9</f>
        <v>78.397180383434943</v>
      </c>
      <c r="G58" s="387">
        <f t="shared" si="17"/>
        <v>82.902420342199775</v>
      </c>
      <c r="H58" s="387">
        <f t="shared" si="17"/>
        <v>41.12290742503334</v>
      </c>
      <c r="I58" s="387">
        <f t="shared" si="17"/>
        <v>49.418071043663929</v>
      </c>
      <c r="J58" s="387">
        <f t="shared" si="17"/>
        <v>39.713818105626693</v>
      </c>
      <c r="K58" s="387">
        <f t="shared" si="17"/>
        <v>47.373733993044901</v>
      </c>
      <c r="L58" s="387">
        <f t="shared" si="17"/>
        <v>50.360589013641317</v>
      </c>
      <c r="M58" s="387">
        <f t="shared" si="17"/>
        <v>36.800978395590704</v>
      </c>
      <c r="N58" s="387">
        <f t="shared" si="17"/>
        <v>20.257736675785068</v>
      </c>
      <c r="O58" s="387">
        <f t="shared" si="17"/>
        <v>53.653752919160624</v>
      </c>
      <c r="P58" s="462"/>
      <c r="Q58" s="463"/>
      <c r="R58" s="463"/>
      <c r="S58" s="463"/>
      <c r="T58" s="463"/>
    </row>
    <row r="59" spans="1:20" s="467" customFormat="1" ht="21.95" hidden="1" customHeight="1">
      <c r="A59" s="399"/>
      <c r="B59" s="378" t="s">
        <v>762</v>
      </c>
      <c r="C59" s="399" t="s">
        <v>717</v>
      </c>
      <c r="D59" s="399" t="s">
        <v>311</v>
      </c>
      <c r="E59" s="401"/>
      <c r="F59" s="465">
        <f>F58/$E$58*100</f>
        <v>15.67939881311616</v>
      </c>
      <c r="G59" s="465">
        <f t="shared" ref="G59:O59" si="18">G58/$E$58*100</f>
        <v>16.580444663448638</v>
      </c>
      <c r="H59" s="465">
        <f t="shared" si="18"/>
        <v>8.2245619385591304</v>
      </c>
      <c r="I59" s="465">
        <f t="shared" si="18"/>
        <v>9.8835907194467989</v>
      </c>
      <c r="J59" s="465">
        <f t="shared" si="18"/>
        <v>7.9427447444429546</v>
      </c>
      <c r="K59" s="465">
        <f t="shared" si="18"/>
        <v>9.4747242810326657</v>
      </c>
      <c r="L59" s="465">
        <f t="shared" si="18"/>
        <v>10.072093865446764</v>
      </c>
      <c r="M59" s="465">
        <f t="shared" si="18"/>
        <v>7.3601781869601535</v>
      </c>
      <c r="N59" s="465">
        <f t="shared" si="18"/>
        <v>4.0515377062953402</v>
      </c>
      <c r="O59" s="465">
        <f t="shared" si="18"/>
        <v>10.730725081251389</v>
      </c>
      <c r="P59" s="451"/>
      <c r="Q59" s="466"/>
      <c r="R59" s="466"/>
      <c r="S59" s="466"/>
      <c r="T59" s="466"/>
    </row>
    <row r="60" spans="1:20" s="469" customFormat="1" ht="20.45" hidden="1" customHeight="1">
      <c r="A60" s="372" t="s">
        <v>763</v>
      </c>
      <c r="B60" s="393" t="s">
        <v>764</v>
      </c>
      <c r="C60" s="372" t="s">
        <v>751</v>
      </c>
      <c r="D60" s="372"/>
      <c r="E60" s="468">
        <f>SUM(F60:O60)</f>
        <v>274788</v>
      </c>
      <c r="F60" s="388">
        <f>$E57*F59%</f>
        <v>43085.106410585635</v>
      </c>
      <c r="G60" s="388">
        <f t="shared" ref="G60:O60" si="19">$E57*G59%</f>
        <v>45561.072281797242</v>
      </c>
      <c r="H60" s="388">
        <f t="shared" si="19"/>
        <v>22600.109259727862</v>
      </c>
      <c r="I60" s="388">
        <f t="shared" si="19"/>
        <v>27158.921266153469</v>
      </c>
      <c r="J60" s="388">
        <f t="shared" si="19"/>
        <v>21825.709428359907</v>
      </c>
      <c r="K60" s="388">
        <f t="shared" si="19"/>
        <v>26035.405357364041</v>
      </c>
      <c r="L60" s="388">
        <f t="shared" si="19"/>
        <v>27676.905290983854</v>
      </c>
      <c r="M60" s="388">
        <f t="shared" si="19"/>
        <v>20224.886436384066</v>
      </c>
      <c r="N60" s="388">
        <f t="shared" si="19"/>
        <v>11133.139432374841</v>
      </c>
      <c r="O60" s="388">
        <f t="shared" si="19"/>
        <v>29486.74483626907</v>
      </c>
      <c r="P60" s="462"/>
      <c r="Q60" s="463"/>
      <c r="R60" s="463"/>
      <c r="S60" s="463"/>
      <c r="T60" s="463"/>
    </row>
    <row r="61" spans="1:20" s="467" customFormat="1" ht="21.95" hidden="1" customHeight="1">
      <c r="A61" s="399"/>
      <c r="B61" s="470" t="s">
        <v>765</v>
      </c>
      <c r="C61" s="399"/>
      <c r="D61" s="399"/>
      <c r="E61" s="471">
        <f>SUM(F61:O61)</f>
        <v>312090.47100000002</v>
      </c>
      <c r="F61" s="471">
        <f>F60*1.13575</f>
        <v>48933.909605822635</v>
      </c>
      <c r="G61" s="471">
        <f t="shared" ref="G61:O64" si="20">G60*1.13575</f>
        <v>51745.987844051218</v>
      </c>
      <c r="H61" s="471">
        <f t="shared" si="20"/>
        <v>25668.074091735922</v>
      </c>
      <c r="I61" s="471">
        <f t="shared" si="20"/>
        <v>30845.744828033803</v>
      </c>
      <c r="J61" s="471">
        <f t="shared" si="20"/>
        <v>24788.549483259765</v>
      </c>
      <c r="K61" s="471">
        <f t="shared" si="20"/>
        <v>29569.711634626212</v>
      </c>
      <c r="L61" s="471">
        <f t="shared" si="20"/>
        <v>31434.045184234914</v>
      </c>
      <c r="M61" s="471">
        <f t="shared" si="20"/>
        <v>22970.414770123203</v>
      </c>
      <c r="N61" s="471">
        <f t="shared" si="20"/>
        <v>12644.463110319726</v>
      </c>
      <c r="O61" s="471">
        <f t="shared" si="20"/>
        <v>33489.570447792597</v>
      </c>
      <c r="P61" s="451"/>
      <c r="Q61" s="466"/>
      <c r="R61" s="466"/>
      <c r="S61" s="466"/>
      <c r="T61" s="466"/>
    </row>
    <row r="62" spans="1:20" s="467" customFormat="1" ht="21.95" hidden="1" customHeight="1">
      <c r="A62" s="399"/>
      <c r="B62" s="470" t="s">
        <v>766</v>
      </c>
      <c r="C62" s="399"/>
      <c r="D62" s="399"/>
      <c r="E62" s="471">
        <f>SUM(F62:O62)</f>
        <v>354456.75243824994</v>
      </c>
      <c r="F62" s="471">
        <f>F61*1.13575</f>
        <v>55576.687834813063</v>
      </c>
      <c r="G62" s="471">
        <f t="shared" si="20"/>
        <v>58770.505693881176</v>
      </c>
      <c r="H62" s="471">
        <f t="shared" si="20"/>
        <v>29152.515149689076</v>
      </c>
      <c r="I62" s="471">
        <f t="shared" si="20"/>
        <v>35033.054688439392</v>
      </c>
      <c r="J62" s="471">
        <f t="shared" si="20"/>
        <v>28153.59507561228</v>
      </c>
      <c r="K62" s="471">
        <f t="shared" si="20"/>
        <v>33583.799989026724</v>
      </c>
      <c r="L62" s="471">
        <f t="shared" si="20"/>
        <v>35701.216817994806</v>
      </c>
      <c r="M62" s="471">
        <f t="shared" si="20"/>
        <v>26088.64857516743</v>
      </c>
      <c r="N62" s="471">
        <f t="shared" si="20"/>
        <v>14360.94897754563</v>
      </c>
      <c r="O62" s="471">
        <f t="shared" si="20"/>
        <v>38035.779636080442</v>
      </c>
      <c r="P62" s="451"/>
      <c r="Q62" s="466"/>
      <c r="R62" s="466"/>
      <c r="S62" s="466"/>
      <c r="T62" s="466"/>
    </row>
    <row r="63" spans="1:20" s="467" customFormat="1" ht="21.95" hidden="1" customHeight="1">
      <c r="A63" s="399"/>
      <c r="B63" s="470" t="s">
        <v>767</v>
      </c>
      <c r="C63" s="399"/>
      <c r="D63" s="399"/>
      <c r="E63" s="471">
        <f>SUM(F63:O63)</f>
        <v>402574.25658174249</v>
      </c>
      <c r="F63" s="471">
        <f>F62*1.13575</f>
        <v>63121.223208388939</v>
      </c>
      <c r="G63" s="471">
        <f t="shared" si="20"/>
        <v>66748.601841825541</v>
      </c>
      <c r="H63" s="471">
        <f t="shared" si="20"/>
        <v>33109.969081259369</v>
      </c>
      <c r="I63" s="471">
        <f t="shared" si="20"/>
        <v>39788.791862395039</v>
      </c>
      <c r="J63" s="471">
        <f t="shared" si="20"/>
        <v>31975.445607126647</v>
      </c>
      <c r="K63" s="471">
        <f t="shared" si="20"/>
        <v>38142.800837537106</v>
      </c>
      <c r="L63" s="471">
        <f t="shared" si="20"/>
        <v>40547.657001037602</v>
      </c>
      <c r="M63" s="471">
        <f t="shared" si="20"/>
        <v>29630.18261924641</v>
      </c>
      <c r="N63" s="471">
        <f t="shared" si="20"/>
        <v>16310.44780124745</v>
      </c>
      <c r="O63" s="471">
        <f t="shared" si="20"/>
        <v>43199.136721678362</v>
      </c>
      <c r="P63" s="451"/>
      <c r="Q63" s="466"/>
      <c r="R63" s="466"/>
      <c r="S63" s="466"/>
      <c r="T63" s="466"/>
    </row>
    <row r="64" spans="1:20" s="467" customFormat="1" ht="21.95" hidden="1" customHeight="1">
      <c r="A64" s="399"/>
      <c r="B64" s="470" t="s">
        <v>768</v>
      </c>
      <c r="C64" s="399"/>
      <c r="D64" s="399"/>
      <c r="E64" s="471">
        <f>SUM(F64:O64)</f>
        <v>457223.711912714</v>
      </c>
      <c r="F64" s="471">
        <f>F63*1.13575</f>
        <v>71689.929258927747</v>
      </c>
      <c r="G64" s="471">
        <f t="shared" si="20"/>
        <v>75809.724541853357</v>
      </c>
      <c r="H64" s="471">
        <f t="shared" si="20"/>
        <v>37604.647384040327</v>
      </c>
      <c r="I64" s="471">
        <f t="shared" si="20"/>
        <v>45190.120357715168</v>
      </c>
      <c r="J64" s="471">
        <f t="shared" si="20"/>
        <v>36316.112348294089</v>
      </c>
      <c r="K64" s="471">
        <f t="shared" si="20"/>
        <v>43320.686051232769</v>
      </c>
      <c r="L64" s="471">
        <f t="shared" si="20"/>
        <v>46052.001438928455</v>
      </c>
      <c r="M64" s="471">
        <f t="shared" si="20"/>
        <v>33652.47990980911</v>
      </c>
      <c r="N64" s="471">
        <f t="shared" si="20"/>
        <v>18524.591090266793</v>
      </c>
      <c r="O64" s="471">
        <f t="shared" si="20"/>
        <v>49063.419531646199</v>
      </c>
      <c r="P64" s="451"/>
      <c r="Q64" s="466"/>
      <c r="R64" s="466"/>
      <c r="S64" s="466"/>
      <c r="T64" s="466"/>
    </row>
    <row r="65" spans="1:20" s="458" customFormat="1" ht="21.95" hidden="1" customHeight="1">
      <c r="A65" s="377"/>
      <c r="B65" s="371" t="s">
        <v>769</v>
      </c>
      <c r="C65" s="377"/>
      <c r="D65" s="377"/>
      <c r="E65" s="380">
        <f>SUM(E60:E64)</f>
        <v>1801133.1919327064</v>
      </c>
      <c r="F65" s="380">
        <f t="shared" ref="F65:O65" si="21">SUM(F60:F64)</f>
        <v>282406.85631853802</v>
      </c>
      <c r="G65" s="380">
        <f t="shared" si="21"/>
        <v>298635.89220340853</v>
      </c>
      <c r="H65" s="380">
        <f t="shared" si="21"/>
        <v>148135.31496645254</v>
      </c>
      <c r="I65" s="380">
        <f>SUM(I60:I64)</f>
        <v>178016.63300273687</v>
      </c>
      <c r="J65" s="380">
        <f t="shared" si="21"/>
        <v>143059.41194265269</v>
      </c>
      <c r="K65" s="380">
        <f t="shared" si="21"/>
        <v>170652.40386978685</v>
      </c>
      <c r="L65" s="380">
        <f t="shared" si="21"/>
        <v>181411.8257331796</v>
      </c>
      <c r="M65" s="380">
        <f t="shared" si="21"/>
        <v>132566.61231073021</v>
      </c>
      <c r="N65" s="380">
        <f t="shared" si="21"/>
        <v>72973.590411754441</v>
      </c>
      <c r="O65" s="380">
        <f t="shared" si="21"/>
        <v>193274.6511734667</v>
      </c>
      <c r="P65" s="472"/>
      <c r="Q65" s="456"/>
      <c r="R65" s="456"/>
      <c r="S65" s="456"/>
      <c r="T65" s="456"/>
    </row>
    <row r="66" spans="1:20" s="454" customFormat="1" ht="29.25" hidden="1" customHeight="1">
      <c r="A66" s="363"/>
      <c r="B66" s="371" t="s">
        <v>769</v>
      </c>
      <c r="C66" s="377"/>
      <c r="D66" s="450"/>
      <c r="E66" s="409">
        <f>SUM(E60:E65)</f>
        <v>3602266.3838654128</v>
      </c>
      <c r="F66" s="380">
        <f>F60*(1+(1.1+1.1^2+1.1^3+1.1^4))</f>
        <v>263038.8831472664</v>
      </c>
      <c r="G66" s="380">
        <f t="shared" ref="G66:O66" si="22">G60*(1+(1.1+1.1^2+1.1^3+1.1^4))</f>
        <v>278154.90238760039</v>
      </c>
      <c r="H66" s="380">
        <f t="shared" si="22"/>
        <v>137975.9270415646</v>
      </c>
      <c r="I66" s="380">
        <f t="shared" si="22"/>
        <v>165807.93022199356</v>
      </c>
      <c r="J66" s="380">
        <f t="shared" si="22"/>
        <v>133248.1386310801</v>
      </c>
      <c r="K66" s="380">
        <f t="shared" si="22"/>
        <v>158948.75324724324</v>
      </c>
      <c r="L66" s="380">
        <f t="shared" si="22"/>
        <v>168970.27449198556</v>
      </c>
      <c r="M66" s="380">
        <f t="shared" si="22"/>
        <v>123474.95418276839</v>
      </c>
      <c r="N66" s="380">
        <f t="shared" si="22"/>
        <v>67968.929548591652</v>
      </c>
      <c r="O66" s="380">
        <f t="shared" si="22"/>
        <v>180019.52589990632</v>
      </c>
      <c r="P66" s="455"/>
      <c r="Q66" s="452"/>
      <c r="R66" s="452"/>
      <c r="S66" s="452"/>
      <c r="T66" s="452"/>
    </row>
    <row r="67" spans="1:20" s="454" customFormat="1" ht="36" hidden="1" customHeight="1">
      <c r="A67" s="363" t="s">
        <v>569</v>
      </c>
      <c r="B67" s="447" t="s">
        <v>770</v>
      </c>
      <c r="C67" s="377"/>
      <c r="D67" s="363"/>
      <c r="E67" s="409">
        <f>E66+E56</f>
        <v>5601759.8950654129</v>
      </c>
      <c r="F67" s="380">
        <f t="shared" ref="F67:K67" si="23">SUM(F60:F64)</f>
        <v>282406.85631853802</v>
      </c>
      <c r="G67" s="380">
        <f t="shared" si="23"/>
        <v>298635.89220340853</v>
      </c>
      <c r="H67" s="380">
        <f t="shared" si="23"/>
        <v>148135.31496645254</v>
      </c>
      <c r="I67" s="380">
        <f t="shared" si="23"/>
        <v>178016.63300273687</v>
      </c>
      <c r="J67" s="380">
        <f t="shared" si="23"/>
        <v>143059.41194265269</v>
      </c>
      <c r="K67" s="380">
        <f t="shared" si="23"/>
        <v>170652.40386978685</v>
      </c>
      <c r="L67" s="380">
        <f>SUM(L60:L64)</f>
        <v>181411.8257331796</v>
      </c>
      <c r="M67" s="380">
        <f>SUM(M60:M64)</f>
        <v>132566.61231073021</v>
      </c>
      <c r="N67" s="380">
        <f>SUM(N60:N64)</f>
        <v>72973.590411754441</v>
      </c>
      <c r="O67" s="380">
        <f>SUM(O60:O64)</f>
        <v>193274.6511734667</v>
      </c>
      <c r="P67" s="455"/>
      <c r="Q67" s="452"/>
      <c r="R67" s="452"/>
      <c r="S67" s="452"/>
      <c r="T67" s="452"/>
    </row>
    <row r="68" spans="1:20" s="469" customFormat="1" ht="45" hidden="1" customHeight="1">
      <c r="A68" s="372" t="s">
        <v>771</v>
      </c>
      <c r="B68" s="444" t="s">
        <v>772</v>
      </c>
      <c r="C68" s="372" t="s">
        <v>751</v>
      </c>
      <c r="D68" s="372"/>
      <c r="E68" s="388">
        <f>SUM(F68:O68)</f>
        <v>94400</v>
      </c>
      <c r="F68" s="388">
        <v>17066</v>
      </c>
      <c r="G68" s="388">
        <v>12294</v>
      </c>
      <c r="H68" s="388">
        <v>10152</v>
      </c>
      <c r="I68" s="388">
        <v>11950</v>
      </c>
      <c r="J68" s="388">
        <v>10023</v>
      </c>
      <c r="K68" s="388">
        <v>9681</v>
      </c>
      <c r="L68" s="388">
        <v>9784</v>
      </c>
      <c r="M68" s="388">
        <v>8310</v>
      </c>
      <c r="N68" s="388"/>
      <c r="O68" s="388">
        <v>5140</v>
      </c>
      <c r="P68" s="462"/>
      <c r="Q68" s="463"/>
      <c r="R68" s="463"/>
      <c r="S68" s="463"/>
      <c r="T68" s="463"/>
    </row>
    <row r="69" spans="1:20" s="469" customFormat="1" ht="37.5" hidden="1" customHeight="1">
      <c r="A69" s="372" t="s">
        <v>773</v>
      </c>
      <c r="B69" s="393" t="s">
        <v>774</v>
      </c>
      <c r="C69" s="372" t="s">
        <v>717</v>
      </c>
      <c r="D69" s="372"/>
      <c r="E69" s="387"/>
      <c r="F69" s="446">
        <f t="shared" ref="F69:M69" si="24">F60/F68*100</f>
        <v>252.46165715800794</v>
      </c>
      <c r="G69" s="446">
        <f t="shared" si="24"/>
        <v>370.59600033998083</v>
      </c>
      <c r="H69" s="446">
        <f t="shared" si="24"/>
        <v>222.61730949298527</v>
      </c>
      <c r="I69" s="446">
        <f t="shared" si="24"/>
        <v>227.27130766655623</v>
      </c>
      <c r="J69" s="446">
        <f t="shared" si="24"/>
        <v>217.75625489733522</v>
      </c>
      <c r="K69" s="446">
        <f t="shared" si="24"/>
        <v>268.93301680987543</v>
      </c>
      <c r="L69" s="446">
        <f t="shared" si="24"/>
        <v>282.87924459304838</v>
      </c>
      <c r="M69" s="446">
        <f t="shared" si="24"/>
        <v>243.38010152086719</v>
      </c>
      <c r="N69" s="446"/>
      <c r="O69" s="446">
        <f>O60/O68*100</f>
        <v>573.67207852663557</v>
      </c>
      <c r="P69" s="462"/>
      <c r="Q69" s="463"/>
      <c r="R69" s="463"/>
      <c r="S69" s="463"/>
      <c r="T69" s="463"/>
    </row>
    <row r="70" spans="1:20" s="463" customFormat="1">
      <c r="A70" s="473"/>
      <c r="B70" s="474"/>
      <c r="C70" s="390"/>
      <c r="D70" s="473"/>
      <c r="E70" s="389"/>
      <c r="F70" s="389"/>
      <c r="G70" s="389"/>
      <c r="H70" s="389"/>
      <c r="I70" s="389"/>
      <c r="J70" s="389"/>
      <c r="K70" s="389"/>
      <c r="L70" s="389"/>
      <c r="M70" s="389"/>
      <c r="N70" s="389"/>
      <c r="O70" s="389"/>
      <c r="P70" s="462"/>
    </row>
    <row r="71" spans="1:20">
      <c r="E71" s="389"/>
      <c r="F71" s="389"/>
      <c r="G71" s="389"/>
      <c r="H71" s="389"/>
      <c r="I71" s="389"/>
      <c r="J71" s="389"/>
      <c r="K71" s="389"/>
      <c r="L71" s="389"/>
      <c r="M71" s="389"/>
      <c r="N71" s="389"/>
      <c r="O71" s="389"/>
      <c r="P71" s="389"/>
    </row>
    <row r="72" spans="1:20">
      <c r="E72" s="389"/>
      <c r="F72" s="389"/>
      <c r="G72" s="389"/>
      <c r="H72" s="389"/>
      <c r="I72" s="389"/>
      <c r="J72" s="389"/>
      <c r="K72" s="389"/>
      <c r="L72" s="389"/>
      <c r="M72" s="389"/>
      <c r="N72" s="389"/>
      <c r="O72" s="389"/>
      <c r="P72" s="389"/>
    </row>
    <row r="73" spans="1:20">
      <c r="E73" s="389"/>
      <c r="F73" s="389"/>
      <c r="G73" s="389"/>
      <c r="H73" s="389"/>
      <c r="I73" s="389"/>
      <c r="J73" s="389"/>
      <c r="K73" s="389"/>
      <c r="L73" s="389"/>
      <c r="M73" s="389"/>
      <c r="N73" s="389"/>
      <c r="O73" s="389"/>
      <c r="P73" s="389"/>
    </row>
    <row r="74" spans="1:20">
      <c r="E74" s="389"/>
      <c r="F74" s="389"/>
      <c r="G74" s="389"/>
      <c r="H74" s="389"/>
      <c r="I74" s="389"/>
      <c r="J74" s="389"/>
      <c r="K74" s="389"/>
      <c r="L74" s="389"/>
      <c r="M74" s="389"/>
      <c r="N74" s="389"/>
      <c r="O74" s="389"/>
      <c r="P74" s="389"/>
    </row>
    <row r="75" spans="1:20">
      <c r="E75" s="389"/>
      <c r="F75" s="389"/>
      <c r="G75" s="389"/>
      <c r="H75" s="389"/>
      <c r="I75" s="389"/>
      <c r="J75" s="389"/>
      <c r="K75" s="389"/>
      <c r="L75" s="389"/>
      <c r="M75" s="389"/>
      <c r="N75" s="389"/>
      <c r="O75" s="389"/>
      <c r="P75" s="389"/>
    </row>
    <row r="76" spans="1:20">
      <c r="E76" s="389"/>
      <c r="F76" s="389"/>
      <c r="G76" s="389"/>
      <c r="H76" s="389"/>
      <c r="I76" s="389"/>
      <c r="J76" s="389"/>
      <c r="K76" s="389"/>
      <c r="L76" s="389"/>
      <c r="M76" s="389"/>
      <c r="N76" s="389"/>
      <c r="O76" s="389"/>
      <c r="P76" s="389"/>
    </row>
    <row r="77" spans="1:20">
      <c r="E77" s="389"/>
      <c r="F77" s="389"/>
      <c r="G77" s="389"/>
      <c r="H77" s="389"/>
      <c r="I77" s="389"/>
      <c r="J77" s="389"/>
      <c r="K77" s="389"/>
      <c r="L77" s="389"/>
      <c r="M77" s="389"/>
      <c r="N77" s="389"/>
      <c r="O77" s="389"/>
      <c r="P77" s="389"/>
    </row>
    <row r="78" spans="1:20">
      <c r="E78" s="389"/>
      <c r="F78" s="389"/>
      <c r="G78" s="389"/>
      <c r="H78" s="389"/>
      <c r="I78" s="389"/>
      <c r="J78" s="389"/>
      <c r="K78" s="389"/>
      <c r="L78" s="389"/>
      <c r="M78" s="389"/>
      <c r="N78" s="389"/>
      <c r="O78" s="389"/>
      <c r="P78" s="389"/>
    </row>
    <row r="79" spans="1:20">
      <c r="E79" s="389"/>
      <c r="F79" s="389"/>
      <c r="G79" s="389"/>
      <c r="H79" s="389"/>
      <c r="I79" s="389"/>
      <c r="J79" s="389"/>
      <c r="K79" s="389"/>
      <c r="L79" s="389"/>
      <c r="M79" s="389"/>
      <c r="N79" s="389"/>
      <c r="O79" s="389"/>
      <c r="P79" s="389"/>
    </row>
    <row r="80" spans="1:20">
      <c r="E80" s="389"/>
      <c r="F80" s="389"/>
      <c r="G80" s="389"/>
      <c r="H80" s="389"/>
      <c r="I80" s="389"/>
      <c r="J80" s="389"/>
      <c r="K80" s="389"/>
      <c r="L80" s="389"/>
      <c r="M80" s="389"/>
      <c r="N80" s="389"/>
      <c r="O80" s="389"/>
      <c r="P80" s="389"/>
    </row>
    <row r="81" spans="5:16">
      <c r="E81" s="389"/>
      <c r="F81" s="389"/>
      <c r="G81" s="389"/>
      <c r="H81" s="389"/>
      <c r="I81" s="389"/>
      <c r="J81" s="389"/>
      <c r="K81" s="389"/>
      <c r="L81" s="389"/>
      <c r="M81" s="389"/>
      <c r="N81" s="389"/>
      <c r="O81" s="389"/>
      <c r="P81" s="389"/>
    </row>
    <row r="82" spans="5:16">
      <c r="E82" s="389"/>
      <c r="F82" s="389"/>
      <c r="G82" s="389"/>
      <c r="H82" s="389"/>
      <c r="I82" s="389"/>
      <c r="J82" s="389"/>
      <c r="K82" s="389"/>
      <c r="L82" s="389"/>
      <c r="M82" s="389"/>
      <c r="N82" s="389"/>
      <c r="O82" s="389"/>
      <c r="P82" s="389"/>
    </row>
    <row r="83" spans="5:16">
      <c r="E83" s="389"/>
      <c r="F83" s="389"/>
      <c r="G83" s="389"/>
      <c r="H83" s="389"/>
      <c r="I83" s="389"/>
      <c r="J83" s="389"/>
      <c r="K83" s="389"/>
      <c r="L83" s="389"/>
      <c r="M83" s="389"/>
      <c r="N83" s="389"/>
      <c r="O83" s="389"/>
      <c r="P83" s="389"/>
    </row>
    <row r="84" spans="5:16">
      <c r="E84" s="389"/>
      <c r="F84" s="389"/>
      <c r="G84" s="389"/>
      <c r="H84" s="389"/>
      <c r="I84" s="389"/>
      <c r="J84" s="389"/>
      <c r="K84" s="389"/>
      <c r="L84" s="389"/>
      <c r="M84" s="389"/>
      <c r="N84" s="389"/>
      <c r="O84" s="389"/>
      <c r="P84" s="389"/>
    </row>
    <row r="85" spans="5:16">
      <c r="E85" s="389"/>
      <c r="F85" s="389"/>
      <c r="G85" s="389"/>
      <c r="H85" s="389"/>
      <c r="I85" s="389"/>
      <c r="J85" s="389"/>
      <c r="K85" s="389"/>
      <c r="L85" s="389"/>
      <c r="M85" s="389"/>
      <c r="N85" s="389"/>
      <c r="O85" s="389"/>
      <c r="P85" s="389"/>
    </row>
    <row r="86" spans="5:16">
      <c r="E86" s="389"/>
      <c r="F86" s="389"/>
      <c r="G86" s="389"/>
      <c r="H86" s="389"/>
      <c r="I86" s="389"/>
      <c r="J86" s="389"/>
      <c r="K86" s="389"/>
      <c r="L86" s="389"/>
      <c r="M86" s="389"/>
      <c r="N86" s="389"/>
      <c r="O86" s="389"/>
      <c r="P86" s="389"/>
    </row>
    <row r="87" spans="5:16">
      <c r="E87" s="389"/>
      <c r="F87" s="389"/>
      <c r="G87" s="389"/>
      <c r="H87" s="389"/>
      <c r="I87" s="389"/>
      <c r="J87" s="389"/>
      <c r="K87" s="389"/>
      <c r="L87" s="389"/>
      <c r="M87" s="389"/>
      <c r="N87" s="389"/>
      <c r="O87" s="389"/>
      <c r="P87" s="389"/>
    </row>
    <row r="88" spans="5:16">
      <c r="E88" s="389"/>
      <c r="F88" s="389"/>
      <c r="G88" s="389"/>
      <c r="H88" s="389"/>
      <c r="I88" s="389"/>
      <c r="J88" s="389"/>
      <c r="K88" s="389"/>
      <c r="L88" s="389"/>
      <c r="M88" s="389"/>
      <c r="N88" s="389"/>
      <c r="O88" s="389"/>
      <c r="P88" s="389"/>
    </row>
    <row r="89" spans="5:16">
      <c r="E89" s="389"/>
      <c r="F89" s="389"/>
      <c r="G89" s="389"/>
      <c r="H89" s="389"/>
      <c r="I89" s="389"/>
      <c r="J89" s="389"/>
      <c r="K89" s="389"/>
      <c r="L89" s="389"/>
      <c r="M89" s="389"/>
      <c r="N89" s="389"/>
      <c r="O89" s="389"/>
      <c r="P89" s="389"/>
    </row>
    <row r="90" spans="5:16">
      <c r="E90" s="389"/>
      <c r="F90" s="389"/>
      <c r="G90" s="389"/>
      <c r="H90" s="389"/>
      <c r="I90" s="389"/>
      <c r="J90" s="389"/>
      <c r="K90" s="389"/>
      <c r="L90" s="389"/>
      <c r="M90" s="389"/>
      <c r="N90" s="389"/>
      <c r="O90" s="389"/>
      <c r="P90" s="389"/>
    </row>
    <row r="91" spans="5:16">
      <c r="E91" s="389"/>
      <c r="F91" s="389"/>
      <c r="G91" s="389"/>
      <c r="H91" s="389"/>
      <c r="I91" s="389"/>
      <c r="J91" s="389"/>
      <c r="K91" s="389"/>
      <c r="L91" s="389"/>
      <c r="M91" s="389"/>
      <c r="N91" s="389"/>
      <c r="O91" s="389"/>
      <c r="P91" s="389"/>
    </row>
    <row r="92" spans="5:16">
      <c r="E92" s="389"/>
      <c r="F92" s="389"/>
      <c r="G92" s="389"/>
      <c r="H92" s="389"/>
      <c r="I92" s="389"/>
      <c r="J92" s="389"/>
      <c r="K92" s="389"/>
      <c r="L92" s="389"/>
      <c r="M92" s="389"/>
      <c r="N92" s="389"/>
      <c r="O92" s="389"/>
      <c r="P92" s="389"/>
    </row>
    <row r="93" spans="5:16">
      <c r="E93" s="389"/>
      <c r="F93" s="389"/>
      <c r="G93" s="389"/>
      <c r="H93" s="389"/>
      <c r="I93" s="389"/>
      <c r="J93" s="389"/>
      <c r="K93" s="389"/>
      <c r="L93" s="389"/>
      <c r="M93" s="389"/>
      <c r="N93" s="389"/>
      <c r="O93" s="389"/>
      <c r="P93" s="389"/>
    </row>
    <row r="94" spans="5:16">
      <c r="E94" s="389"/>
      <c r="F94" s="389"/>
      <c r="G94" s="389"/>
      <c r="H94" s="389"/>
      <c r="I94" s="389"/>
      <c r="J94" s="389"/>
      <c r="K94" s="389"/>
      <c r="L94" s="389"/>
      <c r="M94" s="389"/>
      <c r="N94" s="389"/>
      <c r="O94" s="389"/>
      <c r="P94" s="389"/>
    </row>
    <row r="95" spans="5:16">
      <c r="E95" s="389"/>
      <c r="F95" s="389"/>
      <c r="G95" s="389"/>
      <c r="H95" s="389"/>
      <c r="I95" s="389"/>
      <c r="J95" s="389"/>
      <c r="K95" s="389"/>
      <c r="L95" s="389"/>
      <c r="M95" s="389"/>
      <c r="N95" s="389"/>
      <c r="O95" s="389"/>
      <c r="P95" s="389"/>
    </row>
    <row r="96" spans="5:16">
      <c r="E96" s="389"/>
      <c r="F96" s="389"/>
      <c r="G96" s="389"/>
      <c r="H96" s="389"/>
      <c r="I96" s="389"/>
      <c r="J96" s="389"/>
      <c r="K96" s="389"/>
      <c r="L96" s="389"/>
      <c r="M96" s="389"/>
      <c r="N96" s="389"/>
      <c r="O96" s="389"/>
      <c r="P96" s="389"/>
    </row>
    <row r="97" spans="5:16">
      <c r="E97" s="389"/>
      <c r="F97" s="389"/>
      <c r="G97" s="389"/>
      <c r="H97" s="389"/>
      <c r="I97" s="389"/>
      <c r="J97" s="389"/>
      <c r="K97" s="389"/>
      <c r="L97" s="389"/>
      <c r="M97" s="389"/>
      <c r="N97" s="389"/>
      <c r="O97" s="389"/>
      <c r="P97" s="389"/>
    </row>
    <row r="98" spans="5:16">
      <c r="E98" s="389"/>
      <c r="F98" s="389"/>
      <c r="G98" s="389"/>
      <c r="H98" s="389"/>
      <c r="I98" s="389"/>
      <c r="J98" s="389"/>
      <c r="K98" s="389"/>
      <c r="L98" s="389"/>
      <c r="M98" s="389"/>
      <c r="N98" s="389"/>
      <c r="O98" s="389"/>
      <c r="P98" s="389"/>
    </row>
    <row r="99" spans="5:16">
      <c r="E99" s="389"/>
      <c r="F99" s="389"/>
      <c r="G99" s="389"/>
      <c r="H99" s="389"/>
      <c r="I99" s="389"/>
      <c r="J99" s="389"/>
      <c r="K99" s="389"/>
      <c r="L99" s="389"/>
      <c r="M99" s="389"/>
      <c r="N99" s="389"/>
      <c r="O99" s="389"/>
      <c r="P99" s="389"/>
    </row>
    <row r="100" spans="5:16">
      <c r="E100" s="389"/>
      <c r="F100" s="389"/>
      <c r="G100" s="389"/>
      <c r="H100" s="389"/>
      <c r="I100" s="389"/>
      <c r="J100" s="389"/>
      <c r="K100" s="389"/>
      <c r="L100" s="389"/>
      <c r="M100" s="389"/>
      <c r="N100" s="389"/>
      <c r="O100" s="389"/>
      <c r="P100" s="389"/>
    </row>
    <row r="101" spans="5:16">
      <c r="E101" s="389"/>
      <c r="F101" s="389"/>
      <c r="G101" s="389"/>
      <c r="H101" s="389"/>
      <c r="I101" s="389"/>
      <c r="J101" s="389"/>
      <c r="K101" s="389"/>
      <c r="L101" s="389"/>
      <c r="M101" s="389"/>
      <c r="N101" s="389"/>
      <c r="O101" s="389"/>
      <c r="P101" s="389"/>
    </row>
    <row r="102" spans="5:16">
      <c r="E102" s="389"/>
      <c r="F102" s="389"/>
      <c r="G102" s="389"/>
      <c r="H102" s="389"/>
      <c r="I102" s="389"/>
      <c r="J102" s="389"/>
      <c r="K102" s="389"/>
      <c r="L102" s="389"/>
      <c r="M102" s="389"/>
      <c r="N102" s="389"/>
      <c r="O102" s="389"/>
      <c r="P102" s="389"/>
    </row>
    <row r="103" spans="5:16">
      <c r="E103" s="389"/>
      <c r="F103" s="389"/>
      <c r="G103" s="389"/>
      <c r="H103" s="389"/>
      <c r="I103" s="389"/>
      <c r="J103" s="389"/>
      <c r="K103" s="389"/>
      <c r="L103" s="389"/>
      <c r="M103" s="389"/>
      <c r="N103" s="389"/>
      <c r="O103" s="389"/>
      <c r="P103" s="389"/>
    </row>
    <row r="104" spans="5:16">
      <c r="E104" s="389"/>
      <c r="F104" s="389"/>
      <c r="G104" s="389"/>
      <c r="H104" s="389"/>
      <c r="I104" s="389"/>
      <c r="J104" s="389"/>
      <c r="K104" s="389"/>
      <c r="L104" s="389"/>
      <c r="M104" s="389"/>
      <c r="N104" s="389"/>
      <c r="O104" s="389"/>
      <c r="P104" s="389"/>
    </row>
    <row r="105" spans="5:16">
      <c r="E105" s="389"/>
      <c r="F105" s="389"/>
      <c r="G105" s="389"/>
      <c r="H105" s="389"/>
      <c r="I105" s="389"/>
      <c r="J105" s="389"/>
      <c r="K105" s="389"/>
      <c r="L105" s="389"/>
      <c r="M105" s="389"/>
      <c r="N105" s="389"/>
      <c r="O105" s="389"/>
      <c r="P105" s="389"/>
    </row>
    <row r="106" spans="5:16">
      <c r="E106" s="389"/>
      <c r="F106" s="389"/>
      <c r="G106" s="389"/>
      <c r="H106" s="389"/>
      <c r="I106" s="389"/>
      <c r="J106" s="389"/>
      <c r="K106" s="389"/>
      <c r="L106" s="389"/>
      <c r="M106" s="389"/>
      <c r="N106" s="389"/>
      <c r="O106" s="389"/>
      <c r="P106" s="389"/>
    </row>
    <row r="107" spans="5:16">
      <c r="E107" s="389"/>
      <c r="F107" s="389"/>
      <c r="G107" s="389"/>
      <c r="H107" s="389"/>
      <c r="I107" s="389"/>
      <c r="J107" s="389"/>
      <c r="K107" s="389"/>
      <c r="L107" s="389"/>
      <c r="M107" s="389"/>
      <c r="N107" s="389"/>
      <c r="O107" s="389"/>
      <c r="P107" s="389"/>
    </row>
    <row r="108" spans="5:16">
      <c r="E108" s="389"/>
      <c r="F108" s="389"/>
      <c r="G108" s="389"/>
      <c r="H108" s="389"/>
      <c r="I108" s="389"/>
      <c r="J108" s="389"/>
      <c r="K108" s="389"/>
      <c r="L108" s="389"/>
      <c r="M108" s="389"/>
      <c r="N108" s="389"/>
      <c r="O108" s="389"/>
      <c r="P108" s="389"/>
    </row>
    <row r="109" spans="5:16">
      <c r="E109" s="389"/>
      <c r="F109" s="389"/>
      <c r="G109" s="389"/>
      <c r="H109" s="389"/>
      <c r="I109" s="389"/>
      <c r="J109" s="389"/>
      <c r="K109" s="389"/>
      <c r="L109" s="389"/>
      <c r="M109" s="389"/>
      <c r="N109" s="389"/>
      <c r="O109" s="389"/>
      <c r="P109" s="389"/>
    </row>
    <row r="110" spans="5:16">
      <c r="E110" s="389"/>
      <c r="F110" s="389"/>
      <c r="G110" s="389"/>
      <c r="H110" s="389"/>
      <c r="I110" s="389"/>
      <c r="J110" s="389"/>
      <c r="K110" s="389"/>
      <c r="L110" s="389"/>
      <c r="M110" s="389"/>
      <c r="N110" s="389"/>
      <c r="O110" s="389"/>
      <c r="P110" s="389"/>
    </row>
    <row r="111" spans="5:16">
      <c r="E111" s="389"/>
      <c r="F111" s="389"/>
      <c r="G111" s="389"/>
      <c r="H111" s="389"/>
      <c r="I111" s="389"/>
      <c r="J111" s="389"/>
      <c r="K111" s="389"/>
      <c r="L111" s="389"/>
      <c r="M111" s="389"/>
      <c r="N111" s="389"/>
      <c r="O111" s="389"/>
      <c r="P111" s="389"/>
    </row>
    <row r="112" spans="5:16">
      <c r="E112" s="389"/>
      <c r="F112" s="389"/>
      <c r="G112" s="389"/>
      <c r="H112" s="389"/>
      <c r="I112" s="389"/>
      <c r="J112" s="389"/>
      <c r="K112" s="389"/>
      <c r="L112" s="389"/>
      <c r="M112" s="389"/>
      <c r="N112" s="389"/>
      <c r="O112" s="389"/>
      <c r="P112" s="389"/>
    </row>
    <row r="113" spans="5:16">
      <c r="E113" s="389"/>
      <c r="F113" s="389"/>
      <c r="G113" s="389"/>
      <c r="H113" s="389"/>
      <c r="I113" s="389"/>
      <c r="J113" s="389"/>
      <c r="K113" s="389"/>
      <c r="L113" s="389"/>
      <c r="M113" s="389"/>
      <c r="N113" s="389"/>
      <c r="O113" s="389"/>
      <c r="P113" s="389"/>
    </row>
    <row r="114" spans="5:16">
      <c r="E114" s="389"/>
      <c r="F114" s="389"/>
      <c r="G114" s="389"/>
      <c r="H114" s="389"/>
      <c r="I114" s="389"/>
      <c r="J114" s="389"/>
      <c r="K114" s="389"/>
      <c r="L114" s="389"/>
      <c r="M114" s="389"/>
      <c r="N114" s="389"/>
      <c r="O114" s="389"/>
      <c r="P114" s="389"/>
    </row>
    <row r="115" spans="5:16">
      <c r="E115" s="389"/>
      <c r="F115" s="389"/>
      <c r="G115" s="389"/>
      <c r="H115" s="389"/>
      <c r="I115" s="389"/>
      <c r="J115" s="389"/>
      <c r="K115" s="389"/>
      <c r="L115" s="389"/>
      <c r="M115" s="389"/>
      <c r="N115" s="389"/>
      <c r="O115" s="389"/>
      <c r="P115" s="389"/>
    </row>
    <row r="116" spans="5:16">
      <c r="E116" s="389"/>
      <c r="F116" s="389"/>
      <c r="G116" s="389"/>
      <c r="H116" s="389"/>
      <c r="I116" s="389"/>
      <c r="J116" s="389"/>
      <c r="K116" s="389"/>
      <c r="L116" s="389"/>
      <c r="M116" s="389"/>
      <c r="N116" s="389"/>
      <c r="O116" s="389"/>
      <c r="P116" s="389"/>
    </row>
    <row r="117" spans="5:16">
      <c r="E117" s="389"/>
      <c r="F117" s="389"/>
      <c r="G117" s="389"/>
      <c r="H117" s="389"/>
      <c r="I117" s="389"/>
      <c r="J117" s="389"/>
      <c r="K117" s="389"/>
      <c r="L117" s="389"/>
      <c r="M117" s="389"/>
      <c r="N117" s="389"/>
      <c r="O117" s="389"/>
      <c r="P117" s="389"/>
    </row>
    <row r="118" spans="5:16">
      <c r="E118" s="389"/>
      <c r="F118" s="389"/>
      <c r="G118" s="389"/>
      <c r="H118" s="389"/>
      <c r="I118" s="389"/>
      <c r="J118" s="389"/>
      <c r="K118" s="389"/>
      <c r="L118" s="389"/>
      <c r="M118" s="389"/>
      <c r="N118" s="389"/>
      <c r="O118" s="389"/>
      <c r="P118" s="389"/>
    </row>
    <row r="119" spans="5:16">
      <c r="E119" s="389"/>
      <c r="F119" s="389"/>
      <c r="G119" s="389"/>
      <c r="H119" s="389"/>
      <c r="I119" s="389"/>
      <c r="J119" s="389"/>
      <c r="K119" s="389"/>
      <c r="L119" s="389"/>
      <c r="M119" s="389"/>
      <c r="N119" s="389"/>
      <c r="O119" s="389"/>
      <c r="P119" s="389"/>
    </row>
    <row r="120" spans="5:16">
      <c r="E120" s="389"/>
      <c r="F120" s="389"/>
      <c r="G120" s="389"/>
      <c r="H120" s="389"/>
      <c r="I120" s="389"/>
      <c r="J120" s="389"/>
      <c r="K120" s="389"/>
      <c r="L120" s="389"/>
      <c r="M120" s="389"/>
      <c r="N120" s="389"/>
      <c r="O120" s="389"/>
      <c r="P120" s="389"/>
    </row>
    <row r="121" spans="5:16">
      <c r="E121" s="389"/>
      <c r="F121" s="389"/>
      <c r="G121" s="389"/>
      <c r="H121" s="389"/>
      <c r="I121" s="389"/>
      <c r="J121" s="389"/>
      <c r="K121" s="389"/>
      <c r="L121" s="389"/>
      <c r="M121" s="389"/>
      <c r="N121" s="389"/>
      <c r="O121" s="389"/>
      <c r="P121" s="389"/>
    </row>
    <row r="122" spans="5:16">
      <c r="E122" s="389"/>
      <c r="F122" s="389"/>
      <c r="G122" s="389"/>
      <c r="H122" s="389"/>
      <c r="I122" s="389"/>
      <c r="J122" s="389"/>
      <c r="K122" s="389"/>
      <c r="L122" s="389"/>
      <c r="M122" s="389"/>
      <c r="N122" s="389"/>
      <c r="O122" s="389"/>
      <c r="P122" s="389"/>
    </row>
    <row r="123" spans="5:16">
      <c r="E123" s="389"/>
      <c r="F123" s="389"/>
      <c r="G123" s="389"/>
      <c r="H123" s="389"/>
      <c r="I123" s="389"/>
      <c r="J123" s="389"/>
      <c r="K123" s="389"/>
      <c r="L123" s="389"/>
      <c r="M123" s="389"/>
      <c r="N123" s="389"/>
      <c r="O123" s="389"/>
      <c r="P123" s="389"/>
    </row>
    <row r="124" spans="5:16">
      <c r="E124" s="389"/>
      <c r="F124" s="389"/>
      <c r="G124" s="389"/>
      <c r="H124" s="389"/>
      <c r="I124" s="389"/>
      <c r="J124" s="389"/>
      <c r="K124" s="389"/>
      <c r="L124" s="389"/>
      <c r="M124" s="389"/>
      <c r="N124" s="389"/>
      <c r="O124" s="389"/>
      <c r="P124" s="389"/>
    </row>
    <row r="125" spans="5:16">
      <c r="E125" s="389"/>
      <c r="F125" s="389"/>
      <c r="G125" s="389"/>
      <c r="H125" s="389"/>
      <c r="I125" s="389"/>
      <c r="J125" s="389"/>
      <c r="K125" s="389"/>
      <c r="L125" s="389"/>
      <c r="M125" s="389"/>
      <c r="N125" s="389"/>
      <c r="O125" s="389"/>
      <c r="P125" s="389"/>
    </row>
    <row r="126" spans="5:16">
      <c r="E126" s="389"/>
      <c r="F126" s="389"/>
      <c r="G126" s="389"/>
      <c r="H126" s="389"/>
      <c r="I126" s="389"/>
      <c r="J126" s="389"/>
      <c r="K126" s="389"/>
      <c r="L126" s="389"/>
      <c r="M126" s="389"/>
      <c r="N126" s="389"/>
      <c r="O126" s="389"/>
      <c r="P126" s="389"/>
    </row>
    <row r="127" spans="5:16">
      <c r="E127" s="389"/>
      <c r="F127" s="389"/>
      <c r="G127" s="389"/>
      <c r="H127" s="389"/>
      <c r="I127" s="389"/>
      <c r="J127" s="389"/>
      <c r="K127" s="389"/>
      <c r="L127" s="389"/>
      <c r="M127" s="389"/>
      <c r="N127" s="389"/>
      <c r="O127" s="389"/>
      <c r="P127" s="389"/>
    </row>
    <row r="128" spans="5:16">
      <c r="E128" s="389"/>
      <c r="F128" s="389"/>
      <c r="G128" s="389"/>
      <c r="H128" s="389"/>
      <c r="I128" s="389"/>
      <c r="J128" s="389"/>
      <c r="K128" s="389"/>
      <c r="L128" s="389"/>
      <c r="M128" s="389"/>
      <c r="N128" s="389"/>
      <c r="O128" s="389"/>
      <c r="P128" s="389"/>
    </row>
    <row r="129" spans="5:16">
      <c r="E129" s="389"/>
      <c r="F129" s="389"/>
      <c r="G129" s="389"/>
      <c r="H129" s="389"/>
      <c r="I129" s="389"/>
      <c r="J129" s="389"/>
      <c r="K129" s="389"/>
      <c r="L129" s="389"/>
      <c r="M129" s="389"/>
      <c r="N129" s="389"/>
      <c r="O129" s="389"/>
      <c r="P129" s="389"/>
    </row>
    <row r="130" spans="5:16">
      <c r="E130" s="389"/>
      <c r="F130" s="389"/>
      <c r="G130" s="389"/>
      <c r="H130" s="389"/>
      <c r="I130" s="389"/>
      <c r="J130" s="389"/>
      <c r="K130" s="389"/>
      <c r="L130" s="389"/>
      <c r="M130" s="389"/>
      <c r="N130" s="389"/>
      <c r="O130" s="389"/>
      <c r="P130" s="389"/>
    </row>
    <row r="131" spans="5:16">
      <c r="E131" s="389"/>
      <c r="F131" s="389"/>
      <c r="G131" s="389"/>
      <c r="H131" s="389"/>
      <c r="I131" s="389"/>
      <c r="J131" s="389"/>
      <c r="K131" s="389"/>
      <c r="L131" s="389"/>
      <c r="M131" s="389"/>
      <c r="N131" s="389"/>
      <c r="O131" s="389"/>
      <c r="P131" s="389"/>
    </row>
    <row r="132" spans="5:16">
      <c r="E132" s="389"/>
      <c r="F132" s="389"/>
      <c r="G132" s="389"/>
      <c r="H132" s="389"/>
      <c r="I132" s="389"/>
      <c r="J132" s="389"/>
      <c r="K132" s="389"/>
      <c r="L132" s="389"/>
      <c r="M132" s="389"/>
      <c r="N132" s="389"/>
      <c r="O132" s="389"/>
      <c r="P132" s="389"/>
    </row>
    <row r="133" spans="5:16">
      <c r="E133" s="389"/>
      <c r="F133" s="389"/>
      <c r="G133" s="389"/>
      <c r="H133" s="389"/>
      <c r="I133" s="389"/>
      <c r="J133" s="389"/>
      <c r="K133" s="389"/>
      <c r="L133" s="389"/>
      <c r="M133" s="389"/>
      <c r="N133" s="389"/>
      <c r="O133" s="389"/>
      <c r="P133" s="389"/>
    </row>
    <row r="134" spans="5:16">
      <c r="E134" s="389"/>
      <c r="F134" s="389"/>
      <c r="G134" s="389"/>
      <c r="H134" s="389"/>
      <c r="I134" s="389"/>
      <c r="J134" s="389"/>
      <c r="K134" s="389"/>
      <c r="L134" s="389"/>
      <c r="M134" s="389"/>
      <c r="N134" s="389"/>
      <c r="O134" s="389"/>
      <c r="P134" s="389"/>
    </row>
    <row r="135" spans="5:16">
      <c r="E135" s="389"/>
      <c r="F135" s="389"/>
      <c r="G135" s="389"/>
      <c r="H135" s="389"/>
      <c r="I135" s="389"/>
      <c r="J135" s="389"/>
      <c r="K135" s="389"/>
      <c r="L135" s="389"/>
      <c r="M135" s="389"/>
      <c r="N135" s="389"/>
      <c r="O135" s="389"/>
      <c r="P135" s="389"/>
    </row>
    <row r="136" spans="5:16">
      <c r="E136" s="389"/>
      <c r="F136" s="389"/>
      <c r="G136" s="389"/>
      <c r="H136" s="389"/>
      <c r="I136" s="389"/>
      <c r="J136" s="389"/>
      <c r="K136" s="389"/>
      <c r="L136" s="389"/>
      <c r="M136" s="389"/>
      <c r="N136" s="389"/>
      <c r="O136" s="389"/>
      <c r="P136" s="389"/>
    </row>
    <row r="137" spans="5:16">
      <c r="E137" s="389"/>
      <c r="F137" s="389"/>
      <c r="G137" s="389"/>
      <c r="H137" s="389"/>
      <c r="I137" s="389"/>
      <c r="J137" s="389"/>
      <c r="K137" s="389"/>
      <c r="L137" s="389"/>
      <c r="M137" s="389"/>
      <c r="N137" s="389"/>
      <c r="O137" s="389"/>
      <c r="P137" s="389"/>
    </row>
    <row r="138" spans="5:16">
      <c r="E138" s="389"/>
      <c r="F138" s="389"/>
      <c r="G138" s="389"/>
      <c r="H138" s="389"/>
      <c r="I138" s="389"/>
      <c r="J138" s="389"/>
      <c r="K138" s="389"/>
      <c r="L138" s="389"/>
      <c r="M138" s="389"/>
      <c r="N138" s="389"/>
      <c r="O138" s="389"/>
      <c r="P138" s="389"/>
    </row>
    <row r="139" spans="5:16">
      <c r="E139" s="389"/>
      <c r="F139" s="389"/>
      <c r="G139" s="389"/>
      <c r="H139" s="389"/>
      <c r="I139" s="389"/>
      <c r="J139" s="389"/>
      <c r="K139" s="389"/>
      <c r="L139" s="389"/>
      <c r="M139" s="389"/>
      <c r="N139" s="389"/>
      <c r="O139" s="389"/>
      <c r="P139" s="389"/>
    </row>
    <row r="140" spans="5:16">
      <c r="E140" s="389"/>
      <c r="F140" s="389"/>
      <c r="G140" s="389"/>
      <c r="H140" s="389"/>
      <c r="I140" s="389"/>
      <c r="J140" s="389"/>
      <c r="K140" s="389"/>
      <c r="L140" s="389"/>
      <c r="M140" s="389"/>
      <c r="N140" s="389"/>
      <c r="O140" s="389"/>
      <c r="P140" s="389"/>
    </row>
    <row r="141" spans="5:16">
      <c r="E141" s="389"/>
      <c r="F141" s="389"/>
      <c r="G141" s="389"/>
      <c r="H141" s="389"/>
      <c r="I141" s="389"/>
      <c r="J141" s="389"/>
      <c r="K141" s="389"/>
      <c r="L141" s="389"/>
      <c r="M141" s="389"/>
      <c r="N141" s="389"/>
      <c r="O141" s="389"/>
      <c r="P141" s="389"/>
    </row>
    <row r="142" spans="5:16">
      <c r="E142" s="389"/>
      <c r="F142" s="389"/>
      <c r="G142" s="389"/>
      <c r="H142" s="389"/>
      <c r="I142" s="389"/>
      <c r="J142" s="389"/>
      <c r="K142" s="389"/>
      <c r="L142" s="389"/>
      <c r="M142" s="389"/>
      <c r="N142" s="389"/>
      <c r="O142" s="389"/>
      <c r="P142" s="389"/>
    </row>
    <row r="143" spans="5:16">
      <c r="E143" s="389"/>
      <c r="F143" s="389"/>
      <c r="G143" s="389"/>
      <c r="H143" s="389"/>
      <c r="I143" s="389"/>
      <c r="J143" s="389"/>
      <c r="K143" s="389"/>
      <c r="L143" s="389"/>
      <c r="M143" s="389"/>
      <c r="N143" s="389"/>
      <c r="O143" s="389"/>
      <c r="P143" s="389"/>
    </row>
    <row r="144" spans="5:16">
      <c r="E144" s="389"/>
      <c r="F144" s="389"/>
      <c r="G144" s="389"/>
      <c r="H144" s="389"/>
      <c r="I144" s="389"/>
      <c r="J144" s="389"/>
      <c r="K144" s="389"/>
      <c r="L144" s="389"/>
      <c r="M144" s="389"/>
      <c r="N144" s="389"/>
      <c r="O144" s="389"/>
      <c r="P144" s="389"/>
    </row>
    <row r="145" spans="5:16">
      <c r="E145" s="389"/>
      <c r="F145" s="389"/>
      <c r="G145" s="389"/>
      <c r="H145" s="389"/>
      <c r="I145" s="389"/>
      <c r="J145" s="389"/>
      <c r="K145" s="389"/>
      <c r="L145" s="389"/>
      <c r="M145" s="389"/>
      <c r="N145" s="389"/>
      <c r="O145" s="389"/>
      <c r="P145" s="389"/>
    </row>
    <row r="146" spans="5:16">
      <c r="E146" s="389"/>
      <c r="F146" s="389"/>
      <c r="G146" s="389"/>
      <c r="H146" s="389"/>
      <c r="I146" s="389"/>
      <c r="J146" s="389"/>
      <c r="K146" s="389"/>
      <c r="L146" s="389"/>
      <c r="M146" s="389"/>
      <c r="N146" s="389"/>
      <c r="O146" s="389"/>
      <c r="P146" s="389"/>
    </row>
    <row r="147" spans="5:16">
      <c r="E147" s="389"/>
      <c r="F147" s="389"/>
      <c r="G147" s="389"/>
      <c r="H147" s="389"/>
      <c r="I147" s="389"/>
      <c r="J147" s="389"/>
      <c r="K147" s="389"/>
      <c r="L147" s="389"/>
      <c r="M147" s="389"/>
      <c r="N147" s="389"/>
      <c r="O147" s="389"/>
      <c r="P147" s="389"/>
    </row>
    <row r="148" spans="5:16">
      <c r="E148" s="389"/>
      <c r="F148" s="389"/>
      <c r="G148" s="389"/>
      <c r="H148" s="389"/>
      <c r="I148" s="389"/>
      <c r="J148" s="389"/>
      <c r="K148" s="389"/>
      <c r="L148" s="389"/>
      <c r="M148" s="389"/>
      <c r="N148" s="389"/>
      <c r="O148" s="389"/>
      <c r="P148" s="389"/>
    </row>
    <row r="149" spans="5:16">
      <c r="E149" s="389"/>
      <c r="F149" s="389"/>
      <c r="G149" s="389"/>
      <c r="H149" s="389"/>
      <c r="I149" s="389"/>
      <c r="J149" s="389"/>
      <c r="K149" s="389"/>
      <c r="L149" s="389"/>
      <c r="M149" s="389"/>
      <c r="N149" s="389"/>
      <c r="O149" s="389"/>
      <c r="P149" s="389"/>
    </row>
    <row r="150" spans="5:16">
      <c r="E150" s="389"/>
      <c r="F150" s="389"/>
      <c r="G150" s="389"/>
      <c r="H150" s="389"/>
      <c r="I150" s="389"/>
      <c r="J150" s="389"/>
      <c r="K150" s="389"/>
      <c r="L150" s="389"/>
      <c r="M150" s="389"/>
      <c r="N150" s="389"/>
      <c r="O150" s="389"/>
      <c r="P150" s="389"/>
    </row>
    <row r="151" spans="5:16">
      <c r="E151" s="389"/>
      <c r="F151" s="389"/>
      <c r="G151" s="389"/>
      <c r="H151" s="389"/>
      <c r="I151" s="389"/>
      <c r="J151" s="389"/>
      <c r="K151" s="389"/>
      <c r="L151" s="389"/>
      <c r="M151" s="389"/>
      <c r="N151" s="389"/>
      <c r="O151" s="389"/>
      <c r="P151" s="389"/>
    </row>
    <row r="152" spans="5:16">
      <c r="E152" s="389"/>
      <c r="F152" s="389"/>
      <c r="G152" s="389"/>
      <c r="H152" s="389"/>
      <c r="I152" s="389"/>
      <c r="J152" s="389"/>
      <c r="K152" s="389"/>
      <c r="L152" s="389"/>
      <c r="M152" s="389"/>
      <c r="N152" s="389"/>
      <c r="O152" s="389"/>
      <c r="P152" s="389"/>
    </row>
    <row r="153" spans="5:16">
      <c r="E153" s="389"/>
      <c r="F153" s="389"/>
      <c r="G153" s="389"/>
      <c r="H153" s="389"/>
      <c r="I153" s="389"/>
      <c r="J153" s="389"/>
      <c r="K153" s="389"/>
      <c r="L153" s="389"/>
      <c r="M153" s="389"/>
      <c r="N153" s="389"/>
      <c r="O153" s="389"/>
      <c r="P153" s="389"/>
    </row>
    <row r="154" spans="5:16">
      <c r="E154" s="389"/>
      <c r="F154" s="389"/>
      <c r="G154" s="389"/>
      <c r="H154" s="389"/>
      <c r="I154" s="389"/>
      <c r="J154" s="389"/>
      <c r="K154" s="389"/>
      <c r="L154" s="389"/>
      <c r="M154" s="389"/>
      <c r="N154" s="389"/>
      <c r="O154" s="389"/>
      <c r="P154" s="389"/>
    </row>
    <row r="155" spans="5:16">
      <c r="E155" s="389"/>
      <c r="F155" s="389"/>
      <c r="G155" s="389"/>
      <c r="H155" s="389"/>
      <c r="I155" s="389"/>
      <c r="J155" s="389"/>
      <c r="K155" s="389"/>
      <c r="L155" s="389"/>
      <c r="M155" s="389"/>
      <c r="N155" s="389"/>
      <c r="O155" s="389"/>
      <c r="P155" s="389"/>
    </row>
    <row r="156" spans="5:16">
      <c r="E156" s="389"/>
      <c r="F156" s="389"/>
      <c r="G156" s="389"/>
      <c r="H156" s="389"/>
      <c r="I156" s="389"/>
      <c r="J156" s="389"/>
      <c r="K156" s="389"/>
      <c r="L156" s="389"/>
      <c r="M156" s="389"/>
      <c r="N156" s="389"/>
      <c r="O156" s="389"/>
      <c r="P156" s="389"/>
    </row>
    <row r="157" spans="5:16">
      <c r="E157" s="389"/>
      <c r="F157" s="389"/>
      <c r="G157" s="389"/>
      <c r="H157" s="389"/>
      <c r="I157" s="389"/>
      <c r="J157" s="389"/>
      <c r="K157" s="389"/>
      <c r="L157" s="389"/>
      <c r="M157" s="389"/>
      <c r="N157" s="389"/>
      <c r="O157" s="389"/>
      <c r="P157" s="389"/>
    </row>
    <row r="158" spans="5:16">
      <c r="E158" s="389"/>
      <c r="F158" s="389"/>
      <c r="G158" s="389"/>
      <c r="H158" s="389"/>
      <c r="I158" s="389"/>
      <c r="J158" s="389"/>
      <c r="K158" s="389"/>
      <c r="L158" s="389"/>
      <c r="M158" s="389"/>
      <c r="N158" s="389"/>
      <c r="O158" s="389"/>
      <c r="P158" s="389"/>
    </row>
    <row r="159" spans="5:16">
      <c r="E159" s="389"/>
      <c r="F159" s="389"/>
      <c r="G159" s="389"/>
      <c r="H159" s="389"/>
      <c r="I159" s="389"/>
      <c r="J159" s="389"/>
      <c r="K159" s="389"/>
      <c r="L159" s="389"/>
      <c r="M159" s="389"/>
      <c r="N159" s="389"/>
      <c r="O159" s="389"/>
      <c r="P159" s="389"/>
    </row>
    <row r="160" spans="5:16">
      <c r="E160" s="389"/>
      <c r="F160" s="389"/>
      <c r="G160" s="389"/>
      <c r="H160" s="389"/>
      <c r="I160" s="389"/>
      <c r="J160" s="389"/>
      <c r="K160" s="389"/>
      <c r="L160" s="389"/>
      <c r="M160" s="389"/>
      <c r="N160" s="389"/>
      <c r="O160" s="389"/>
      <c r="P160" s="389"/>
    </row>
    <row r="161" spans="5:16">
      <c r="E161" s="389"/>
      <c r="F161" s="389"/>
      <c r="G161" s="389"/>
      <c r="H161" s="389"/>
      <c r="I161" s="389"/>
      <c r="J161" s="389"/>
      <c r="K161" s="389"/>
      <c r="L161" s="389"/>
      <c r="M161" s="389"/>
      <c r="N161" s="389"/>
      <c r="O161" s="389"/>
      <c r="P161" s="389"/>
    </row>
    <row r="162" spans="5:16">
      <c r="E162" s="389"/>
      <c r="F162" s="389"/>
      <c r="G162" s="389"/>
      <c r="H162" s="389"/>
      <c r="I162" s="389"/>
      <c r="J162" s="389"/>
      <c r="K162" s="389"/>
      <c r="L162" s="389"/>
      <c r="M162" s="389"/>
      <c r="N162" s="389"/>
      <c r="O162" s="389"/>
      <c r="P162" s="389"/>
    </row>
    <row r="163" spans="5:16">
      <c r="E163" s="389"/>
      <c r="F163" s="389"/>
      <c r="G163" s="389"/>
      <c r="H163" s="389"/>
      <c r="I163" s="389"/>
      <c r="J163" s="389"/>
      <c r="K163" s="389"/>
      <c r="L163" s="389"/>
      <c r="M163" s="389"/>
      <c r="N163" s="389"/>
      <c r="O163" s="389"/>
      <c r="P163" s="389"/>
    </row>
    <row r="164" spans="5:16">
      <c r="E164" s="389"/>
      <c r="F164" s="389"/>
      <c r="G164" s="389"/>
      <c r="H164" s="389"/>
      <c r="I164" s="389"/>
      <c r="J164" s="389"/>
      <c r="K164" s="389"/>
      <c r="L164" s="389"/>
      <c r="M164" s="389"/>
      <c r="N164" s="389"/>
      <c r="O164" s="389"/>
      <c r="P164" s="389"/>
    </row>
    <row r="165" spans="5:16">
      <c r="E165" s="389"/>
      <c r="F165" s="389"/>
      <c r="G165" s="389"/>
      <c r="H165" s="389"/>
      <c r="I165" s="389"/>
      <c r="J165" s="389"/>
      <c r="K165" s="389"/>
      <c r="L165" s="389"/>
      <c r="M165" s="389"/>
      <c r="N165" s="389"/>
      <c r="O165" s="389"/>
      <c r="P165" s="389"/>
    </row>
    <row r="166" spans="5:16">
      <c r="E166" s="389"/>
      <c r="F166" s="389"/>
      <c r="G166" s="389"/>
      <c r="H166" s="389"/>
      <c r="I166" s="389"/>
      <c r="J166" s="389"/>
      <c r="K166" s="389"/>
      <c r="L166" s="389"/>
      <c r="M166" s="389"/>
      <c r="N166" s="389"/>
      <c r="O166" s="389"/>
      <c r="P166" s="389"/>
    </row>
    <row r="167" spans="5:16">
      <c r="E167" s="389"/>
      <c r="F167" s="389"/>
      <c r="G167" s="389"/>
      <c r="H167" s="389"/>
      <c r="I167" s="389"/>
      <c r="J167" s="389"/>
      <c r="K167" s="389"/>
      <c r="L167" s="389"/>
      <c r="M167" s="389"/>
      <c r="N167" s="389"/>
      <c r="O167" s="389"/>
      <c r="P167" s="389"/>
    </row>
    <row r="168" spans="5:16">
      <c r="E168" s="389"/>
      <c r="F168" s="389"/>
      <c r="G168" s="389"/>
      <c r="H168" s="389"/>
      <c r="I168" s="389"/>
      <c r="J168" s="389"/>
      <c r="K168" s="389"/>
      <c r="L168" s="389"/>
      <c r="M168" s="389"/>
      <c r="N168" s="389"/>
      <c r="O168" s="389"/>
      <c r="P168" s="389"/>
    </row>
    <row r="169" spans="5:16">
      <c r="E169" s="389"/>
      <c r="F169" s="389"/>
      <c r="G169" s="389"/>
      <c r="H169" s="389"/>
      <c r="I169" s="389"/>
      <c r="J169" s="389"/>
      <c r="K169" s="389"/>
      <c r="L169" s="389"/>
      <c r="M169" s="389"/>
      <c r="N169" s="389"/>
      <c r="O169" s="389"/>
      <c r="P169" s="389"/>
    </row>
    <row r="170" spans="5:16">
      <c r="E170" s="389"/>
      <c r="F170" s="389"/>
      <c r="G170" s="389"/>
      <c r="H170" s="389"/>
      <c r="I170" s="389"/>
      <c r="J170" s="389"/>
      <c r="K170" s="389"/>
      <c r="L170" s="389"/>
      <c r="M170" s="389"/>
      <c r="N170" s="389"/>
      <c r="O170" s="389"/>
      <c r="P170" s="389"/>
    </row>
    <row r="171" spans="5:16">
      <c r="E171" s="389"/>
      <c r="F171" s="389"/>
      <c r="G171" s="389"/>
      <c r="H171" s="389"/>
      <c r="I171" s="389"/>
      <c r="J171" s="389"/>
      <c r="K171" s="389"/>
      <c r="L171" s="389"/>
      <c r="M171" s="389"/>
      <c r="N171" s="389"/>
      <c r="O171" s="389"/>
      <c r="P171" s="389"/>
    </row>
    <row r="172" spans="5:16">
      <c r="E172" s="389"/>
      <c r="F172" s="389"/>
      <c r="G172" s="389"/>
      <c r="H172" s="389"/>
      <c r="I172" s="389"/>
      <c r="J172" s="389"/>
      <c r="K172" s="389"/>
      <c r="L172" s="389"/>
      <c r="M172" s="389"/>
      <c r="N172" s="389"/>
      <c r="O172" s="389"/>
      <c r="P172" s="389"/>
    </row>
    <row r="173" spans="5:16">
      <c r="E173" s="389"/>
      <c r="F173" s="389"/>
      <c r="G173" s="389"/>
      <c r="H173" s="389"/>
      <c r="I173" s="389"/>
      <c r="J173" s="389"/>
      <c r="K173" s="389"/>
      <c r="L173" s="389"/>
      <c r="M173" s="389"/>
      <c r="N173" s="389"/>
      <c r="O173" s="389"/>
      <c r="P173" s="389"/>
    </row>
    <row r="174" spans="5:16">
      <c r="E174" s="389"/>
      <c r="F174" s="389"/>
      <c r="G174" s="389"/>
      <c r="H174" s="389"/>
      <c r="I174" s="389"/>
      <c r="J174" s="389"/>
      <c r="K174" s="389"/>
      <c r="L174" s="389"/>
      <c r="M174" s="389"/>
      <c r="N174" s="389"/>
      <c r="O174" s="389"/>
      <c r="P174" s="389"/>
    </row>
    <row r="175" spans="5:16">
      <c r="E175" s="389"/>
      <c r="F175" s="389"/>
      <c r="G175" s="389"/>
      <c r="H175" s="389"/>
      <c r="I175" s="389"/>
      <c r="J175" s="389"/>
      <c r="K175" s="389"/>
      <c r="L175" s="389"/>
      <c r="M175" s="389"/>
      <c r="N175" s="389"/>
      <c r="O175" s="389"/>
      <c r="P175" s="389"/>
    </row>
    <row r="176" spans="5:16">
      <c r="E176" s="389"/>
      <c r="F176" s="389"/>
      <c r="G176" s="389"/>
      <c r="H176" s="389"/>
      <c r="I176" s="389"/>
      <c r="J176" s="389"/>
      <c r="K176" s="389"/>
      <c r="L176" s="389"/>
      <c r="M176" s="389"/>
      <c r="N176" s="389"/>
      <c r="O176" s="389"/>
      <c r="P176" s="389"/>
    </row>
    <row r="177" spans="5:16">
      <c r="E177" s="389"/>
      <c r="F177" s="389"/>
      <c r="G177" s="389"/>
      <c r="H177" s="389"/>
      <c r="I177" s="389"/>
      <c r="J177" s="389"/>
      <c r="K177" s="389"/>
      <c r="L177" s="389"/>
      <c r="M177" s="389"/>
      <c r="N177" s="389"/>
      <c r="O177" s="389"/>
      <c r="P177" s="389"/>
    </row>
    <row r="178" spans="5:16">
      <c r="E178" s="389"/>
      <c r="F178" s="389"/>
      <c r="G178" s="389"/>
      <c r="H178" s="389"/>
      <c r="I178" s="389"/>
      <c r="J178" s="389"/>
      <c r="K178" s="389"/>
      <c r="L178" s="389"/>
      <c r="M178" s="389"/>
      <c r="N178" s="389"/>
      <c r="O178" s="389"/>
      <c r="P178" s="389"/>
    </row>
    <row r="179" spans="5:16">
      <c r="E179" s="389"/>
      <c r="F179" s="389"/>
      <c r="G179" s="389"/>
      <c r="H179" s="389"/>
      <c r="I179" s="389"/>
      <c r="J179" s="389"/>
      <c r="K179" s="389"/>
      <c r="L179" s="389"/>
      <c r="M179" s="389"/>
      <c r="N179" s="389"/>
      <c r="O179" s="389"/>
      <c r="P179" s="389"/>
    </row>
    <row r="180" spans="5:16">
      <c r="E180" s="389"/>
      <c r="F180" s="389"/>
      <c r="G180" s="389"/>
      <c r="H180" s="389"/>
      <c r="I180" s="389"/>
      <c r="J180" s="389"/>
      <c r="K180" s="389"/>
      <c r="L180" s="389"/>
      <c r="M180" s="389"/>
      <c r="N180" s="389"/>
      <c r="O180" s="389"/>
      <c r="P180" s="389"/>
    </row>
    <row r="181" spans="5:16">
      <c r="E181" s="389"/>
      <c r="F181" s="389"/>
      <c r="G181" s="389"/>
      <c r="H181" s="389"/>
      <c r="I181" s="389"/>
      <c r="J181" s="389"/>
      <c r="K181" s="389"/>
      <c r="L181" s="389"/>
      <c r="M181" s="389"/>
      <c r="N181" s="389"/>
      <c r="O181" s="389"/>
      <c r="P181" s="389"/>
    </row>
    <row r="182" spans="5:16">
      <c r="E182" s="389"/>
      <c r="F182" s="389"/>
      <c r="G182" s="389"/>
      <c r="H182" s="389"/>
      <c r="I182" s="389"/>
      <c r="J182" s="389"/>
      <c r="K182" s="389"/>
      <c r="L182" s="389"/>
      <c r="M182" s="389"/>
      <c r="N182" s="389"/>
      <c r="O182" s="389"/>
      <c r="P182" s="389"/>
    </row>
    <row r="183" spans="5:16">
      <c r="E183" s="389"/>
      <c r="F183" s="389"/>
      <c r="G183" s="389"/>
      <c r="H183" s="389"/>
      <c r="I183" s="389"/>
      <c r="J183" s="389"/>
      <c r="K183" s="389"/>
      <c r="L183" s="389"/>
      <c r="M183" s="389"/>
      <c r="N183" s="389"/>
      <c r="O183" s="389"/>
      <c r="P183" s="389"/>
    </row>
    <row r="184" spans="5:16">
      <c r="E184" s="389"/>
      <c r="F184" s="389"/>
      <c r="G184" s="389"/>
      <c r="H184" s="389"/>
      <c r="I184" s="389"/>
      <c r="J184" s="389"/>
      <c r="K184" s="389"/>
      <c r="L184" s="389"/>
      <c r="M184" s="389"/>
      <c r="N184" s="389"/>
      <c r="O184" s="389"/>
      <c r="P184" s="389"/>
    </row>
    <row r="185" spans="5:16">
      <c r="E185" s="389"/>
      <c r="F185" s="389"/>
      <c r="G185" s="389"/>
      <c r="H185" s="389"/>
      <c r="I185" s="389"/>
      <c r="J185" s="389"/>
      <c r="K185" s="389"/>
      <c r="L185" s="389"/>
      <c r="M185" s="389"/>
      <c r="N185" s="389"/>
      <c r="O185" s="389"/>
      <c r="P185" s="389"/>
    </row>
    <row r="186" spans="5:16">
      <c r="E186" s="389"/>
      <c r="F186" s="389"/>
      <c r="G186" s="389"/>
      <c r="H186" s="389"/>
      <c r="I186" s="389"/>
      <c r="J186" s="389"/>
      <c r="K186" s="389"/>
      <c r="L186" s="389"/>
      <c r="M186" s="389"/>
      <c r="N186" s="389"/>
      <c r="O186" s="389"/>
      <c r="P186" s="389"/>
    </row>
    <row r="187" spans="5:16">
      <c r="E187" s="389"/>
      <c r="F187" s="389"/>
      <c r="G187" s="389"/>
      <c r="H187" s="389"/>
      <c r="I187" s="389"/>
      <c r="J187" s="389"/>
      <c r="K187" s="389"/>
      <c r="L187" s="389"/>
      <c r="M187" s="389"/>
      <c r="N187" s="389"/>
      <c r="O187" s="389"/>
      <c r="P187" s="389"/>
    </row>
    <row r="188" spans="5:16">
      <c r="E188" s="389"/>
      <c r="F188" s="389"/>
      <c r="G188" s="389"/>
      <c r="H188" s="389"/>
      <c r="I188" s="389"/>
      <c r="J188" s="389"/>
      <c r="K188" s="389"/>
      <c r="L188" s="389"/>
      <c r="M188" s="389"/>
      <c r="N188" s="389"/>
      <c r="O188" s="389"/>
      <c r="P188" s="389"/>
    </row>
    <row r="189" spans="5:16">
      <c r="E189" s="389"/>
      <c r="F189" s="389"/>
      <c r="G189" s="389"/>
      <c r="H189" s="389"/>
      <c r="I189" s="389"/>
      <c r="J189" s="389"/>
      <c r="K189" s="389"/>
      <c r="L189" s="389"/>
      <c r="M189" s="389"/>
      <c r="N189" s="389"/>
      <c r="O189" s="389"/>
      <c r="P189" s="389"/>
    </row>
    <row r="190" spans="5:16">
      <c r="E190" s="389"/>
      <c r="F190" s="389"/>
      <c r="G190" s="389"/>
      <c r="H190" s="389"/>
      <c r="I190" s="389"/>
      <c r="J190" s="389"/>
      <c r="K190" s="389"/>
      <c r="L190" s="389"/>
      <c r="M190" s="389"/>
      <c r="N190" s="389"/>
      <c r="O190" s="389"/>
      <c r="P190" s="389"/>
    </row>
    <row r="191" spans="5:16">
      <c r="E191" s="389"/>
      <c r="F191" s="389"/>
      <c r="G191" s="389"/>
      <c r="H191" s="389"/>
      <c r="I191" s="389"/>
      <c r="J191" s="389"/>
      <c r="K191" s="389"/>
      <c r="L191" s="389"/>
      <c r="M191" s="389"/>
      <c r="N191" s="389"/>
      <c r="O191" s="389"/>
      <c r="P191" s="389"/>
    </row>
    <row r="192" spans="5:16">
      <c r="E192" s="389"/>
      <c r="F192" s="389"/>
      <c r="G192" s="389"/>
      <c r="H192" s="389"/>
      <c r="I192" s="389"/>
      <c r="J192" s="389"/>
      <c r="K192" s="389"/>
      <c r="L192" s="389"/>
      <c r="M192" s="389"/>
      <c r="N192" s="389"/>
      <c r="O192" s="389"/>
      <c r="P192" s="389"/>
    </row>
    <row r="193" spans="5:16">
      <c r="E193" s="389"/>
      <c r="F193" s="389"/>
      <c r="G193" s="389"/>
      <c r="H193" s="389"/>
      <c r="I193" s="389"/>
      <c r="J193" s="389"/>
      <c r="K193" s="389"/>
      <c r="L193" s="389"/>
      <c r="M193" s="389"/>
      <c r="N193" s="389"/>
      <c r="O193" s="389"/>
      <c r="P193" s="389"/>
    </row>
    <row r="194" spans="5:16">
      <c r="E194" s="389"/>
      <c r="F194" s="389"/>
      <c r="G194" s="389"/>
      <c r="H194" s="389"/>
      <c r="I194" s="389"/>
      <c r="J194" s="389"/>
      <c r="K194" s="389"/>
      <c r="L194" s="389"/>
      <c r="M194" s="389"/>
      <c r="N194" s="389"/>
      <c r="O194" s="389"/>
      <c r="P194" s="389"/>
    </row>
    <row r="195" spans="5:16">
      <c r="E195" s="389"/>
      <c r="F195" s="389"/>
      <c r="G195" s="389"/>
      <c r="H195" s="389"/>
      <c r="I195" s="389"/>
      <c r="J195" s="389"/>
      <c r="K195" s="389"/>
      <c r="L195" s="389"/>
      <c r="M195" s="389"/>
      <c r="N195" s="389"/>
      <c r="O195" s="389"/>
      <c r="P195" s="389"/>
    </row>
    <row r="196" spans="5:16">
      <c r="E196" s="389"/>
      <c r="F196" s="389"/>
      <c r="G196" s="389"/>
      <c r="H196" s="389"/>
      <c r="I196" s="389"/>
      <c r="J196" s="389"/>
      <c r="K196" s="389"/>
      <c r="L196" s="389"/>
      <c r="M196" s="389"/>
      <c r="N196" s="389"/>
      <c r="O196" s="389"/>
      <c r="P196" s="389"/>
    </row>
    <row r="197" spans="5:16">
      <c r="E197" s="389"/>
      <c r="F197" s="389"/>
      <c r="G197" s="389"/>
      <c r="H197" s="389"/>
      <c r="I197" s="389"/>
      <c r="J197" s="389"/>
      <c r="K197" s="389"/>
      <c r="L197" s="389"/>
      <c r="M197" s="389"/>
      <c r="N197" s="389"/>
      <c r="O197" s="389"/>
      <c r="P197" s="389"/>
    </row>
    <row r="198" spans="5:16">
      <c r="E198" s="389"/>
      <c r="F198" s="389"/>
      <c r="G198" s="389"/>
      <c r="H198" s="389"/>
      <c r="I198" s="389"/>
      <c r="J198" s="389"/>
      <c r="K198" s="389"/>
      <c r="L198" s="389"/>
      <c r="M198" s="389"/>
      <c r="N198" s="389"/>
      <c r="O198" s="389"/>
      <c r="P198" s="389"/>
    </row>
    <row r="199" spans="5:16">
      <c r="E199" s="389"/>
      <c r="F199" s="389"/>
      <c r="G199" s="389"/>
      <c r="H199" s="389"/>
      <c r="I199" s="389"/>
      <c r="J199" s="389"/>
      <c r="K199" s="389"/>
      <c r="L199" s="389"/>
      <c r="M199" s="389"/>
      <c r="N199" s="389"/>
      <c r="O199" s="389"/>
      <c r="P199" s="389"/>
    </row>
    <row r="200" spans="5:16">
      <c r="E200" s="389"/>
      <c r="F200" s="389"/>
      <c r="G200" s="389"/>
      <c r="H200" s="389"/>
      <c r="I200" s="389"/>
      <c r="J200" s="389"/>
      <c r="K200" s="389"/>
      <c r="L200" s="389"/>
      <c r="M200" s="389"/>
      <c r="N200" s="389"/>
      <c r="O200" s="389"/>
      <c r="P200" s="389"/>
    </row>
    <row r="201" spans="5:16">
      <c r="E201" s="389"/>
      <c r="F201" s="389"/>
      <c r="G201" s="389"/>
      <c r="H201" s="389"/>
      <c r="I201" s="389"/>
      <c r="J201" s="389"/>
      <c r="K201" s="389"/>
      <c r="L201" s="389"/>
      <c r="M201" s="389"/>
      <c r="N201" s="389"/>
      <c r="O201" s="389"/>
      <c r="P201" s="389"/>
    </row>
    <row r="202" spans="5:16">
      <c r="E202" s="389"/>
      <c r="F202" s="389"/>
      <c r="G202" s="389"/>
      <c r="H202" s="389"/>
      <c r="I202" s="389"/>
      <c r="J202" s="389"/>
      <c r="K202" s="389"/>
      <c r="L202" s="389"/>
      <c r="M202" s="389"/>
      <c r="N202" s="389"/>
      <c r="O202" s="389"/>
      <c r="P202" s="389"/>
    </row>
    <row r="203" spans="5:16">
      <c r="E203" s="389"/>
      <c r="F203" s="389"/>
      <c r="G203" s="389"/>
      <c r="H203" s="389"/>
      <c r="I203" s="389"/>
      <c r="J203" s="389"/>
      <c r="K203" s="389"/>
      <c r="L203" s="389"/>
      <c r="M203" s="389"/>
      <c r="N203" s="389"/>
      <c r="O203" s="389"/>
      <c r="P203" s="389"/>
    </row>
    <row r="204" spans="5:16">
      <c r="E204" s="389"/>
      <c r="F204" s="389"/>
      <c r="G204" s="389"/>
      <c r="H204" s="389"/>
      <c r="I204" s="389"/>
      <c r="J204" s="389"/>
      <c r="K204" s="389"/>
      <c r="L204" s="389"/>
      <c r="M204" s="389"/>
      <c r="N204" s="389"/>
      <c r="O204" s="389"/>
      <c r="P204" s="389"/>
    </row>
    <row r="205" spans="5:16">
      <c r="E205" s="389"/>
      <c r="F205" s="389"/>
      <c r="G205" s="389"/>
      <c r="H205" s="389"/>
      <c r="I205" s="389"/>
      <c r="J205" s="389"/>
      <c r="K205" s="389"/>
      <c r="L205" s="389"/>
      <c r="M205" s="389"/>
      <c r="N205" s="389"/>
      <c r="O205" s="389"/>
      <c r="P205" s="389"/>
    </row>
    <row r="206" spans="5:16">
      <c r="E206" s="389"/>
      <c r="F206" s="389"/>
      <c r="G206" s="389"/>
      <c r="H206" s="389"/>
      <c r="I206" s="389"/>
      <c r="J206" s="389"/>
      <c r="K206" s="389"/>
      <c r="L206" s="389"/>
      <c r="M206" s="389"/>
      <c r="N206" s="389"/>
      <c r="O206" s="389"/>
      <c r="P206" s="389"/>
    </row>
    <row r="207" spans="5:16">
      <c r="E207" s="389"/>
      <c r="F207" s="389"/>
      <c r="G207" s="389"/>
      <c r="H207" s="389"/>
      <c r="I207" s="389"/>
      <c r="J207" s="389"/>
      <c r="K207" s="389"/>
      <c r="L207" s="389"/>
      <c r="M207" s="389"/>
      <c r="N207" s="389"/>
      <c r="O207" s="389"/>
      <c r="P207" s="389"/>
    </row>
    <row r="208" spans="5:16">
      <c r="E208" s="389"/>
      <c r="F208" s="389"/>
      <c r="G208" s="389"/>
      <c r="H208" s="389"/>
      <c r="I208" s="389"/>
      <c r="J208" s="389"/>
      <c r="K208" s="389"/>
      <c r="L208" s="389"/>
      <c r="M208" s="389"/>
      <c r="N208" s="389"/>
      <c r="O208" s="389"/>
      <c r="P208" s="389"/>
    </row>
    <row r="209" spans="5:16">
      <c r="E209" s="389"/>
      <c r="F209" s="389"/>
      <c r="G209" s="389"/>
      <c r="H209" s="389"/>
      <c r="I209" s="389"/>
      <c r="J209" s="389"/>
      <c r="K209" s="389"/>
      <c r="L209" s="389"/>
      <c r="M209" s="389"/>
      <c r="N209" s="389"/>
      <c r="O209" s="389"/>
      <c r="P209" s="389"/>
    </row>
    <row r="210" spans="5:16">
      <c r="E210" s="389"/>
      <c r="F210" s="389"/>
      <c r="G210" s="389"/>
      <c r="H210" s="389"/>
      <c r="I210" s="389"/>
      <c r="J210" s="389"/>
      <c r="K210" s="389"/>
      <c r="L210" s="389"/>
      <c r="M210" s="389"/>
      <c r="N210" s="389"/>
      <c r="O210" s="389"/>
      <c r="P210" s="389"/>
    </row>
    <row r="211" spans="5:16">
      <c r="E211" s="389"/>
      <c r="F211" s="389"/>
      <c r="G211" s="389"/>
      <c r="H211" s="389"/>
      <c r="I211" s="389"/>
      <c r="J211" s="389"/>
      <c r="K211" s="389"/>
      <c r="L211" s="389"/>
      <c r="M211" s="389"/>
      <c r="N211" s="389"/>
      <c r="O211" s="389"/>
      <c r="P211" s="389"/>
    </row>
    <row r="212" spans="5:16">
      <c r="E212" s="389"/>
      <c r="F212" s="389"/>
      <c r="G212" s="389"/>
      <c r="H212" s="389"/>
      <c r="I212" s="389"/>
      <c r="J212" s="389"/>
      <c r="K212" s="389"/>
      <c r="L212" s="389"/>
      <c r="M212" s="389"/>
      <c r="N212" s="389"/>
      <c r="O212" s="389"/>
      <c r="P212" s="389"/>
    </row>
    <row r="213" spans="5:16">
      <c r="E213" s="389"/>
      <c r="F213" s="389"/>
      <c r="G213" s="389"/>
      <c r="H213" s="389"/>
      <c r="I213" s="389"/>
      <c r="J213" s="389"/>
      <c r="K213" s="389"/>
      <c r="L213" s="389"/>
      <c r="M213" s="389"/>
      <c r="N213" s="389"/>
      <c r="O213" s="389"/>
      <c r="P213" s="389"/>
    </row>
    <row r="214" spans="5:16">
      <c r="E214" s="389"/>
      <c r="F214" s="389"/>
      <c r="G214" s="389"/>
      <c r="H214" s="389"/>
      <c r="I214" s="389"/>
      <c r="J214" s="389"/>
      <c r="K214" s="389"/>
      <c r="L214" s="389"/>
      <c r="M214" s="389"/>
      <c r="N214" s="389"/>
      <c r="O214" s="389"/>
      <c r="P214" s="389"/>
    </row>
    <row r="215" spans="5:16">
      <c r="E215" s="389"/>
      <c r="F215" s="389"/>
      <c r="G215" s="389"/>
      <c r="H215" s="389"/>
      <c r="I215" s="389"/>
      <c r="J215" s="389"/>
      <c r="K215" s="389"/>
      <c r="L215" s="389"/>
      <c r="M215" s="389"/>
      <c r="N215" s="389"/>
      <c r="O215" s="389"/>
      <c r="P215" s="389"/>
    </row>
    <row r="216" spans="5:16">
      <c r="E216" s="389"/>
      <c r="F216" s="389"/>
      <c r="G216" s="389"/>
      <c r="H216" s="389"/>
      <c r="I216" s="389"/>
      <c r="J216" s="389"/>
      <c r="K216" s="389"/>
      <c r="L216" s="389"/>
      <c r="M216" s="389"/>
      <c r="N216" s="389"/>
      <c r="O216" s="389"/>
      <c r="P216" s="389"/>
    </row>
    <row r="217" spans="5:16">
      <c r="E217" s="389"/>
      <c r="F217" s="389"/>
      <c r="G217" s="389"/>
      <c r="H217" s="389"/>
      <c r="I217" s="389"/>
      <c r="J217" s="389"/>
      <c r="K217" s="389"/>
      <c r="L217" s="389"/>
      <c r="M217" s="389"/>
      <c r="N217" s="389"/>
      <c r="O217" s="389"/>
      <c r="P217" s="389"/>
    </row>
    <row r="218" spans="5:16">
      <c r="E218" s="389"/>
      <c r="F218" s="389"/>
      <c r="G218" s="389"/>
      <c r="H218" s="389"/>
      <c r="I218" s="389"/>
      <c r="J218" s="389"/>
      <c r="K218" s="389"/>
      <c r="L218" s="389"/>
      <c r="M218" s="389"/>
      <c r="N218" s="389"/>
      <c r="O218" s="389"/>
      <c r="P218" s="389"/>
    </row>
    <row r="219" spans="5:16">
      <c r="E219" s="389"/>
      <c r="F219" s="389"/>
      <c r="G219" s="389"/>
      <c r="H219" s="389"/>
      <c r="I219" s="389"/>
      <c r="J219" s="389"/>
      <c r="K219" s="389"/>
      <c r="L219" s="389"/>
      <c r="M219" s="389"/>
      <c r="N219" s="389"/>
      <c r="O219" s="389"/>
      <c r="P219" s="389"/>
    </row>
    <row r="220" spans="5:16">
      <c r="E220" s="389"/>
      <c r="F220" s="389"/>
      <c r="G220" s="389"/>
      <c r="H220" s="389"/>
      <c r="I220" s="389"/>
      <c r="J220" s="389"/>
      <c r="K220" s="389"/>
      <c r="L220" s="389"/>
      <c r="M220" s="389"/>
      <c r="N220" s="389"/>
      <c r="O220" s="389"/>
      <c r="P220" s="389"/>
    </row>
    <row r="221" spans="5:16">
      <c r="E221" s="389"/>
      <c r="F221" s="389"/>
      <c r="G221" s="389"/>
      <c r="H221" s="389"/>
      <c r="I221" s="389"/>
      <c r="J221" s="389"/>
      <c r="K221" s="389"/>
      <c r="L221" s="389"/>
      <c r="M221" s="389"/>
      <c r="N221" s="389"/>
      <c r="O221" s="389"/>
      <c r="P221" s="389"/>
    </row>
    <row r="222" spans="5:16">
      <c r="E222" s="389"/>
      <c r="F222" s="389"/>
      <c r="G222" s="389"/>
      <c r="H222" s="389"/>
      <c r="I222" s="389"/>
      <c r="J222" s="389"/>
      <c r="K222" s="389"/>
      <c r="L222" s="389"/>
      <c r="M222" s="389"/>
      <c r="N222" s="389"/>
      <c r="O222" s="389"/>
      <c r="P222" s="389"/>
    </row>
    <row r="223" spans="5:16">
      <c r="E223" s="389"/>
      <c r="F223" s="389"/>
      <c r="G223" s="389"/>
      <c r="H223" s="389"/>
      <c r="I223" s="389"/>
      <c r="J223" s="389"/>
      <c r="K223" s="389"/>
      <c r="L223" s="389"/>
      <c r="M223" s="389"/>
      <c r="N223" s="389"/>
      <c r="O223" s="389"/>
      <c r="P223" s="389"/>
    </row>
    <row r="224" spans="5:16">
      <c r="E224" s="389"/>
      <c r="F224" s="389"/>
      <c r="G224" s="389"/>
      <c r="H224" s="389"/>
      <c r="I224" s="389"/>
      <c r="J224" s="389"/>
      <c r="K224" s="389"/>
      <c r="L224" s="389"/>
      <c r="M224" s="389"/>
      <c r="N224" s="389"/>
      <c r="O224" s="389"/>
      <c r="P224" s="389"/>
    </row>
    <row r="225" spans="5:16">
      <c r="E225" s="389"/>
      <c r="F225" s="389"/>
      <c r="G225" s="389"/>
      <c r="H225" s="389"/>
      <c r="I225" s="389"/>
      <c r="J225" s="389"/>
      <c r="K225" s="389"/>
      <c r="L225" s="389"/>
      <c r="M225" s="389"/>
      <c r="N225" s="389"/>
      <c r="O225" s="389"/>
      <c r="P225" s="389"/>
    </row>
    <row r="226" spans="5:16">
      <c r="E226" s="389"/>
      <c r="F226" s="389"/>
      <c r="G226" s="389"/>
      <c r="H226" s="389"/>
      <c r="I226" s="389"/>
      <c r="J226" s="389"/>
      <c r="K226" s="389"/>
      <c r="L226" s="389"/>
      <c r="M226" s="389"/>
      <c r="N226" s="389"/>
      <c r="O226" s="389"/>
      <c r="P226" s="389"/>
    </row>
    <row r="227" spans="5:16">
      <c r="E227" s="389"/>
      <c r="F227" s="389"/>
      <c r="G227" s="389"/>
      <c r="H227" s="389"/>
      <c r="I227" s="389"/>
      <c r="J227" s="389"/>
      <c r="K227" s="389"/>
      <c r="L227" s="389"/>
      <c r="M227" s="389"/>
      <c r="N227" s="389"/>
      <c r="O227" s="389"/>
      <c r="P227" s="389"/>
    </row>
    <row r="228" spans="5:16">
      <c r="E228" s="389"/>
      <c r="F228" s="389"/>
      <c r="G228" s="389"/>
      <c r="H228" s="389"/>
      <c r="I228" s="389"/>
      <c r="J228" s="389"/>
      <c r="K228" s="389"/>
      <c r="L228" s="389"/>
      <c r="M228" s="389"/>
      <c r="N228" s="389"/>
      <c r="O228" s="389"/>
      <c r="P228" s="389"/>
    </row>
    <row r="229" spans="5:16">
      <c r="E229" s="389"/>
      <c r="F229" s="389"/>
      <c r="G229" s="389"/>
      <c r="H229" s="389"/>
      <c r="I229" s="389"/>
      <c r="J229" s="389"/>
      <c r="K229" s="389"/>
      <c r="L229" s="389"/>
      <c r="M229" s="389"/>
      <c r="N229" s="389"/>
      <c r="O229" s="389"/>
      <c r="P229" s="389"/>
    </row>
    <row r="230" spans="5:16">
      <c r="E230" s="389"/>
      <c r="F230" s="389"/>
      <c r="G230" s="389"/>
      <c r="H230" s="389"/>
      <c r="I230" s="389"/>
      <c r="J230" s="389"/>
      <c r="K230" s="389"/>
      <c r="L230" s="389"/>
      <c r="M230" s="389"/>
      <c r="N230" s="389"/>
      <c r="O230" s="389"/>
      <c r="P230" s="389"/>
    </row>
    <row r="231" spans="5:16">
      <c r="E231" s="389"/>
      <c r="F231" s="389"/>
      <c r="G231" s="389"/>
      <c r="H231" s="389"/>
      <c r="I231" s="389"/>
      <c r="J231" s="389"/>
      <c r="K231" s="389"/>
      <c r="L231" s="389"/>
      <c r="M231" s="389"/>
      <c r="N231" s="389"/>
      <c r="O231" s="389"/>
      <c r="P231" s="389"/>
    </row>
    <row r="232" spans="5:16">
      <c r="E232" s="389"/>
      <c r="F232" s="389"/>
      <c r="G232" s="389"/>
      <c r="H232" s="389"/>
      <c r="I232" s="389"/>
      <c r="J232" s="389"/>
      <c r="K232" s="389"/>
      <c r="L232" s="389"/>
      <c r="M232" s="389"/>
      <c r="N232" s="389"/>
      <c r="O232" s="389"/>
      <c r="P232" s="389"/>
    </row>
    <row r="233" spans="5:16">
      <c r="E233" s="389"/>
      <c r="F233" s="389"/>
      <c r="G233" s="389"/>
      <c r="H233" s="389"/>
      <c r="I233" s="389"/>
      <c r="J233" s="389"/>
      <c r="K233" s="389"/>
      <c r="L233" s="389"/>
      <c r="M233" s="389"/>
      <c r="N233" s="389"/>
      <c r="O233" s="389"/>
      <c r="P233" s="389"/>
    </row>
    <row r="234" spans="5:16">
      <c r="E234" s="389"/>
      <c r="F234" s="389"/>
      <c r="G234" s="389"/>
      <c r="H234" s="389"/>
      <c r="I234" s="389"/>
      <c r="J234" s="389"/>
      <c r="K234" s="389"/>
      <c r="L234" s="389"/>
      <c r="M234" s="389"/>
      <c r="N234" s="389"/>
      <c r="O234" s="389"/>
      <c r="P234" s="389"/>
    </row>
    <row r="235" spans="5:16">
      <c r="E235" s="389"/>
      <c r="F235" s="389"/>
      <c r="G235" s="389"/>
      <c r="H235" s="389"/>
      <c r="I235" s="389"/>
      <c r="J235" s="389"/>
      <c r="K235" s="389"/>
      <c r="L235" s="389"/>
      <c r="M235" s="389"/>
      <c r="N235" s="389"/>
      <c r="O235" s="389"/>
      <c r="P235" s="389"/>
    </row>
    <row r="236" spans="5:16">
      <c r="E236" s="389"/>
      <c r="F236" s="389"/>
      <c r="G236" s="389"/>
      <c r="H236" s="389"/>
      <c r="I236" s="389"/>
      <c r="J236" s="389"/>
      <c r="K236" s="389"/>
      <c r="L236" s="389"/>
      <c r="M236" s="389"/>
      <c r="N236" s="389"/>
      <c r="O236" s="389"/>
      <c r="P236" s="389"/>
    </row>
    <row r="237" spans="5:16">
      <c r="E237" s="389"/>
      <c r="F237" s="389"/>
      <c r="G237" s="389"/>
      <c r="H237" s="389"/>
      <c r="I237" s="389"/>
      <c r="J237" s="389"/>
      <c r="K237" s="389"/>
      <c r="L237" s="389"/>
      <c r="M237" s="389"/>
      <c r="N237" s="389"/>
      <c r="O237" s="389"/>
      <c r="P237" s="389"/>
    </row>
    <row r="238" spans="5:16">
      <c r="E238" s="389"/>
      <c r="F238" s="389"/>
      <c r="G238" s="389"/>
      <c r="H238" s="389"/>
      <c r="I238" s="389"/>
      <c r="J238" s="389"/>
      <c r="K238" s="389"/>
      <c r="L238" s="389"/>
      <c r="M238" s="389"/>
      <c r="N238" s="389"/>
      <c r="O238" s="389"/>
      <c r="P238" s="389"/>
    </row>
    <row r="239" spans="5:16">
      <c r="E239" s="389"/>
      <c r="F239" s="389"/>
      <c r="G239" s="389"/>
      <c r="H239" s="389"/>
      <c r="I239" s="389"/>
      <c r="J239" s="389"/>
      <c r="K239" s="389"/>
      <c r="L239" s="389"/>
      <c r="M239" s="389"/>
      <c r="N239" s="389"/>
      <c r="O239" s="389"/>
      <c r="P239" s="389"/>
    </row>
    <row r="240" spans="5:16">
      <c r="E240" s="389"/>
      <c r="F240" s="389"/>
      <c r="G240" s="389"/>
      <c r="H240" s="389"/>
      <c r="I240" s="389"/>
      <c r="J240" s="389"/>
      <c r="K240" s="389"/>
      <c r="L240" s="389"/>
      <c r="M240" s="389"/>
      <c r="N240" s="389"/>
      <c r="O240" s="389"/>
      <c r="P240" s="389"/>
    </row>
    <row r="241" spans="5:16">
      <c r="E241" s="389"/>
      <c r="F241" s="389"/>
      <c r="G241" s="389"/>
      <c r="H241" s="389"/>
      <c r="I241" s="389"/>
      <c r="J241" s="389"/>
      <c r="K241" s="389"/>
      <c r="L241" s="389"/>
      <c r="M241" s="389"/>
      <c r="N241" s="389"/>
      <c r="O241" s="389"/>
      <c r="P241" s="389"/>
    </row>
    <row r="242" spans="5:16">
      <c r="E242" s="389"/>
      <c r="F242" s="389"/>
      <c r="G242" s="389"/>
      <c r="H242" s="389"/>
      <c r="I242" s="389"/>
      <c r="J242" s="389"/>
      <c r="K242" s="389"/>
      <c r="L242" s="389"/>
      <c r="M242" s="389"/>
      <c r="N242" s="389"/>
      <c r="O242" s="389"/>
      <c r="P242" s="389"/>
    </row>
    <row r="243" spans="5:16">
      <c r="E243" s="389"/>
      <c r="F243" s="389"/>
      <c r="G243" s="389"/>
      <c r="H243" s="389"/>
      <c r="I243" s="389"/>
      <c r="J243" s="389"/>
      <c r="K243" s="389"/>
      <c r="L243" s="389"/>
      <c r="M243" s="389"/>
      <c r="N243" s="389"/>
      <c r="O243" s="389"/>
      <c r="P243" s="389"/>
    </row>
    <row r="244" spans="5:16">
      <c r="E244" s="389"/>
      <c r="F244" s="389"/>
      <c r="G244" s="389"/>
      <c r="H244" s="389"/>
      <c r="I244" s="389"/>
      <c r="J244" s="389"/>
      <c r="K244" s="389"/>
      <c r="L244" s="389"/>
      <c r="M244" s="389"/>
      <c r="N244" s="389"/>
      <c r="O244" s="389"/>
      <c r="P244" s="389"/>
    </row>
    <row r="245" spans="5:16">
      <c r="E245" s="389"/>
      <c r="F245" s="389"/>
      <c r="G245" s="389"/>
      <c r="H245" s="389"/>
      <c r="I245" s="389"/>
      <c r="J245" s="389"/>
      <c r="K245" s="389"/>
      <c r="L245" s="389"/>
      <c r="M245" s="389"/>
      <c r="N245" s="389"/>
      <c r="O245" s="389"/>
      <c r="P245" s="389"/>
    </row>
    <row r="246" spans="5:16">
      <c r="E246" s="389"/>
      <c r="F246" s="389"/>
      <c r="G246" s="389"/>
      <c r="H246" s="389"/>
      <c r="I246" s="389"/>
      <c r="J246" s="389"/>
      <c r="K246" s="389"/>
      <c r="L246" s="389"/>
      <c r="M246" s="389"/>
      <c r="N246" s="389"/>
      <c r="O246" s="389"/>
      <c r="P246" s="389"/>
    </row>
    <row r="247" spans="5:16">
      <c r="E247" s="389"/>
      <c r="F247" s="389"/>
      <c r="G247" s="389"/>
      <c r="H247" s="389"/>
      <c r="I247" s="389"/>
      <c r="J247" s="389"/>
      <c r="K247" s="389"/>
      <c r="L247" s="389"/>
      <c r="M247" s="389"/>
      <c r="N247" s="389"/>
      <c r="O247" s="389"/>
      <c r="P247" s="389"/>
    </row>
    <row r="248" spans="5:16">
      <c r="E248" s="389"/>
      <c r="F248" s="389"/>
      <c r="G248" s="389"/>
      <c r="H248" s="389"/>
      <c r="I248" s="389"/>
      <c r="J248" s="389"/>
      <c r="K248" s="389"/>
      <c r="L248" s="389"/>
      <c r="M248" s="389"/>
      <c r="N248" s="389"/>
      <c r="O248" s="389"/>
      <c r="P248" s="389"/>
    </row>
    <row r="249" spans="5:16">
      <c r="E249" s="389"/>
      <c r="F249" s="389"/>
      <c r="G249" s="389"/>
      <c r="H249" s="389"/>
      <c r="I249" s="389"/>
      <c r="J249" s="389"/>
      <c r="K249" s="389"/>
      <c r="L249" s="389"/>
      <c r="M249" s="389"/>
      <c r="N249" s="389"/>
      <c r="O249" s="389"/>
      <c r="P249" s="389"/>
    </row>
    <row r="250" spans="5:16">
      <c r="E250" s="389"/>
      <c r="F250" s="389"/>
      <c r="G250" s="389"/>
      <c r="H250" s="389"/>
      <c r="I250" s="389"/>
      <c r="J250" s="389"/>
      <c r="K250" s="389"/>
      <c r="L250" s="389"/>
      <c r="M250" s="389"/>
      <c r="N250" s="389"/>
      <c r="O250" s="389"/>
      <c r="P250" s="389"/>
    </row>
    <row r="251" spans="5:16">
      <c r="E251" s="389"/>
      <c r="F251" s="389"/>
      <c r="G251" s="389"/>
      <c r="H251" s="389"/>
      <c r="I251" s="389"/>
      <c r="J251" s="389"/>
      <c r="K251" s="389"/>
      <c r="L251" s="389"/>
      <c r="M251" s="389"/>
      <c r="N251" s="389"/>
      <c r="O251" s="389"/>
      <c r="P251" s="389"/>
    </row>
    <row r="252" spans="5:16">
      <c r="E252" s="389"/>
      <c r="F252" s="389"/>
      <c r="G252" s="389"/>
      <c r="H252" s="389"/>
      <c r="I252" s="389"/>
      <c r="J252" s="389"/>
      <c r="K252" s="389"/>
      <c r="L252" s="389"/>
      <c r="M252" s="389"/>
      <c r="N252" s="389"/>
      <c r="O252" s="389"/>
      <c r="P252" s="389"/>
    </row>
    <row r="253" spans="5:16">
      <c r="E253" s="389"/>
      <c r="F253" s="389"/>
      <c r="G253" s="389"/>
      <c r="H253" s="389"/>
      <c r="I253" s="389"/>
      <c r="J253" s="389"/>
      <c r="K253" s="389"/>
      <c r="L253" s="389"/>
      <c r="M253" s="389"/>
      <c r="N253" s="389"/>
      <c r="O253" s="389"/>
      <c r="P253" s="389"/>
    </row>
    <row r="254" spans="5:16">
      <c r="E254" s="389"/>
      <c r="F254" s="389"/>
      <c r="G254" s="389"/>
      <c r="H254" s="389"/>
      <c r="I254" s="389"/>
      <c r="J254" s="389"/>
      <c r="K254" s="389"/>
      <c r="L254" s="389"/>
      <c r="M254" s="389"/>
      <c r="N254" s="389"/>
      <c r="O254" s="389"/>
      <c r="P254" s="389"/>
    </row>
    <row r="255" spans="5:16">
      <c r="E255" s="389"/>
      <c r="F255" s="389"/>
      <c r="G255" s="389"/>
      <c r="H255" s="389"/>
      <c r="I255" s="389"/>
      <c r="J255" s="389"/>
      <c r="K255" s="389"/>
      <c r="L255" s="389"/>
      <c r="M255" s="389"/>
      <c r="N255" s="389"/>
      <c r="O255" s="389"/>
      <c r="P255" s="389"/>
    </row>
    <row r="256" spans="5:16">
      <c r="E256" s="389"/>
      <c r="F256" s="389"/>
      <c r="G256" s="389"/>
      <c r="H256" s="389"/>
      <c r="I256" s="389"/>
      <c r="J256" s="389"/>
      <c r="K256" s="389"/>
      <c r="L256" s="389"/>
      <c r="M256" s="389"/>
      <c r="N256" s="389"/>
      <c r="O256" s="389"/>
      <c r="P256" s="389"/>
    </row>
    <row r="257" spans="5:16">
      <c r="E257" s="389"/>
      <c r="F257" s="389"/>
      <c r="G257" s="389"/>
      <c r="H257" s="389"/>
      <c r="I257" s="389"/>
      <c r="J257" s="389"/>
      <c r="K257" s="389"/>
      <c r="L257" s="389"/>
      <c r="M257" s="389"/>
      <c r="N257" s="389"/>
      <c r="O257" s="389"/>
      <c r="P257" s="389"/>
    </row>
    <row r="258" spans="5:16">
      <c r="E258" s="389"/>
      <c r="F258" s="389"/>
      <c r="G258" s="389"/>
      <c r="H258" s="389"/>
      <c r="I258" s="389"/>
      <c r="J258" s="389"/>
      <c r="K258" s="389"/>
      <c r="L258" s="389"/>
      <c r="M258" s="389"/>
      <c r="N258" s="389"/>
      <c r="O258" s="389"/>
      <c r="P258" s="389"/>
    </row>
    <row r="259" spans="5:16">
      <c r="E259" s="389"/>
      <c r="F259" s="389"/>
      <c r="G259" s="389"/>
      <c r="H259" s="389"/>
      <c r="I259" s="389"/>
      <c r="J259" s="389"/>
      <c r="K259" s="389"/>
      <c r="L259" s="389"/>
      <c r="M259" s="389"/>
      <c r="N259" s="389"/>
      <c r="O259" s="389"/>
      <c r="P259" s="389"/>
    </row>
    <row r="260" spans="5:16">
      <c r="E260" s="389"/>
      <c r="F260" s="389"/>
      <c r="G260" s="389"/>
      <c r="H260" s="389"/>
      <c r="I260" s="389"/>
      <c r="J260" s="389"/>
      <c r="K260" s="389"/>
      <c r="L260" s="389"/>
      <c r="M260" s="389"/>
      <c r="N260" s="389"/>
      <c r="O260" s="389"/>
      <c r="P260" s="389"/>
    </row>
    <row r="261" spans="5:16">
      <c r="E261" s="389"/>
      <c r="F261" s="389"/>
      <c r="G261" s="389"/>
      <c r="H261" s="389"/>
      <c r="I261" s="389"/>
      <c r="J261" s="389"/>
      <c r="K261" s="389"/>
      <c r="L261" s="389"/>
      <c r="M261" s="389"/>
      <c r="N261" s="389"/>
      <c r="O261" s="389"/>
      <c r="P261" s="389"/>
    </row>
    <row r="262" spans="5:16">
      <c r="E262" s="389"/>
      <c r="F262" s="389"/>
      <c r="G262" s="389"/>
      <c r="H262" s="389"/>
      <c r="I262" s="389"/>
      <c r="J262" s="389"/>
      <c r="K262" s="389"/>
      <c r="L262" s="389"/>
      <c r="M262" s="389"/>
      <c r="N262" s="389"/>
      <c r="O262" s="389"/>
      <c r="P262" s="389"/>
    </row>
    <row r="263" spans="5:16">
      <c r="E263" s="389"/>
      <c r="F263" s="389"/>
      <c r="G263" s="389"/>
      <c r="H263" s="389"/>
      <c r="I263" s="389"/>
      <c r="J263" s="389"/>
      <c r="K263" s="389"/>
      <c r="L263" s="389"/>
      <c r="M263" s="389"/>
      <c r="N263" s="389"/>
      <c r="O263" s="389"/>
      <c r="P263" s="389"/>
    </row>
    <row r="264" spans="5:16">
      <c r="E264" s="389"/>
      <c r="F264" s="389"/>
      <c r="G264" s="389"/>
      <c r="H264" s="389"/>
      <c r="I264" s="389"/>
      <c r="J264" s="389"/>
      <c r="K264" s="389"/>
      <c r="L264" s="389"/>
      <c r="M264" s="389"/>
      <c r="N264" s="389"/>
      <c r="O264" s="389"/>
      <c r="P264" s="389"/>
    </row>
    <row r="265" spans="5:16">
      <c r="E265" s="389"/>
      <c r="F265" s="389"/>
      <c r="G265" s="389"/>
      <c r="H265" s="389"/>
      <c r="I265" s="389"/>
      <c r="J265" s="389"/>
      <c r="K265" s="389"/>
      <c r="L265" s="389"/>
      <c r="M265" s="389"/>
      <c r="N265" s="389"/>
      <c r="O265" s="389"/>
      <c r="P265" s="389"/>
    </row>
    <row r="266" spans="5:16">
      <c r="E266" s="389"/>
      <c r="F266" s="389"/>
      <c r="G266" s="389"/>
      <c r="H266" s="389"/>
      <c r="I266" s="389"/>
      <c r="J266" s="389"/>
      <c r="K266" s="389"/>
      <c r="L266" s="389"/>
      <c r="M266" s="389"/>
      <c r="N266" s="389"/>
      <c r="O266" s="389"/>
      <c r="P266" s="389"/>
    </row>
    <row r="267" spans="5:16">
      <c r="E267" s="389"/>
      <c r="F267" s="389"/>
      <c r="G267" s="389"/>
      <c r="H267" s="389"/>
      <c r="I267" s="389"/>
      <c r="J267" s="389"/>
      <c r="K267" s="389"/>
      <c r="L267" s="389"/>
      <c r="M267" s="389"/>
      <c r="N267" s="389"/>
      <c r="O267" s="389"/>
      <c r="P267" s="389"/>
    </row>
    <row r="268" spans="5:16">
      <c r="E268" s="389"/>
      <c r="F268" s="389"/>
      <c r="G268" s="389"/>
      <c r="H268" s="389"/>
      <c r="I268" s="389"/>
      <c r="J268" s="389"/>
      <c r="K268" s="389"/>
      <c r="L268" s="389"/>
      <c r="M268" s="389"/>
      <c r="N268" s="389"/>
      <c r="O268" s="389"/>
      <c r="P268" s="389"/>
    </row>
    <row r="269" spans="5:16">
      <c r="E269" s="389"/>
      <c r="F269" s="389"/>
      <c r="G269" s="389"/>
      <c r="H269" s="389"/>
      <c r="I269" s="389"/>
      <c r="J269" s="389"/>
      <c r="K269" s="389"/>
      <c r="L269" s="389"/>
      <c r="M269" s="389"/>
      <c r="N269" s="389"/>
      <c r="O269" s="389"/>
      <c r="P269" s="389"/>
    </row>
    <row r="270" spans="5:16">
      <c r="E270" s="389"/>
      <c r="F270" s="389"/>
      <c r="G270" s="389"/>
      <c r="H270" s="389"/>
      <c r="I270" s="389"/>
      <c r="J270" s="389"/>
      <c r="K270" s="389"/>
      <c r="L270" s="389"/>
      <c r="M270" s="389"/>
      <c r="N270" s="389"/>
      <c r="O270" s="389"/>
      <c r="P270" s="389"/>
    </row>
    <row r="271" spans="5:16">
      <c r="E271" s="389"/>
      <c r="F271" s="389"/>
      <c r="G271" s="389"/>
      <c r="H271" s="389"/>
      <c r="I271" s="389"/>
      <c r="J271" s="389"/>
      <c r="K271" s="389"/>
      <c r="L271" s="389"/>
      <c r="M271" s="389"/>
      <c r="N271" s="389"/>
      <c r="O271" s="389"/>
      <c r="P271" s="389"/>
    </row>
    <row r="272" spans="5:16">
      <c r="E272" s="389"/>
      <c r="F272" s="389"/>
      <c r="G272" s="389"/>
      <c r="H272" s="389"/>
      <c r="I272" s="389"/>
      <c r="J272" s="389"/>
      <c r="K272" s="389"/>
      <c r="L272" s="389"/>
      <c r="M272" s="389"/>
      <c r="N272" s="389"/>
      <c r="O272" s="389"/>
      <c r="P272" s="389"/>
    </row>
    <row r="273" spans="5:16">
      <c r="E273" s="389"/>
      <c r="F273" s="389"/>
      <c r="G273" s="389"/>
      <c r="H273" s="389"/>
      <c r="I273" s="389"/>
      <c r="J273" s="389"/>
      <c r="K273" s="389"/>
      <c r="L273" s="389"/>
      <c r="M273" s="389"/>
      <c r="N273" s="389"/>
      <c r="O273" s="389"/>
      <c r="P273" s="389"/>
    </row>
    <row r="274" spans="5:16">
      <c r="E274" s="389"/>
      <c r="F274" s="389"/>
      <c r="G274" s="389"/>
      <c r="H274" s="389"/>
      <c r="I274" s="389"/>
      <c r="J274" s="389"/>
      <c r="K274" s="389"/>
      <c r="L274" s="389"/>
      <c r="M274" s="389"/>
      <c r="N274" s="389"/>
      <c r="O274" s="389"/>
      <c r="P274" s="389"/>
    </row>
    <row r="275" spans="5:16">
      <c r="E275" s="389"/>
      <c r="F275" s="389"/>
      <c r="G275" s="389"/>
      <c r="H275" s="389"/>
      <c r="I275" s="389"/>
      <c r="J275" s="389"/>
      <c r="K275" s="389"/>
      <c r="L275" s="389"/>
      <c r="M275" s="389"/>
      <c r="N275" s="389"/>
      <c r="O275" s="389"/>
      <c r="P275" s="389"/>
    </row>
    <row r="276" spans="5:16">
      <c r="E276" s="389"/>
      <c r="F276" s="389"/>
      <c r="G276" s="389"/>
      <c r="H276" s="389"/>
      <c r="I276" s="389"/>
      <c r="J276" s="389"/>
      <c r="K276" s="389"/>
      <c r="L276" s="389"/>
      <c r="M276" s="389"/>
      <c r="N276" s="389"/>
      <c r="O276" s="389"/>
      <c r="P276" s="389"/>
    </row>
    <row r="277" spans="5:16">
      <c r="E277" s="389"/>
      <c r="F277" s="389"/>
      <c r="G277" s="389"/>
      <c r="H277" s="389"/>
      <c r="I277" s="389"/>
      <c r="J277" s="389"/>
      <c r="K277" s="389"/>
      <c r="L277" s="389"/>
      <c r="M277" s="389"/>
      <c r="N277" s="389"/>
      <c r="O277" s="389"/>
      <c r="P277" s="389"/>
    </row>
    <row r="278" spans="5:16">
      <c r="E278" s="389"/>
      <c r="F278" s="389"/>
      <c r="G278" s="389"/>
      <c r="H278" s="389"/>
      <c r="I278" s="389"/>
      <c r="J278" s="389"/>
      <c r="K278" s="389"/>
      <c r="L278" s="389"/>
      <c r="M278" s="389"/>
      <c r="N278" s="389"/>
      <c r="O278" s="389"/>
      <c r="P278" s="389"/>
    </row>
    <row r="279" spans="5:16">
      <c r="E279" s="389"/>
      <c r="F279" s="389"/>
      <c r="G279" s="389"/>
      <c r="H279" s="389"/>
      <c r="I279" s="389"/>
      <c r="J279" s="389"/>
      <c r="K279" s="389"/>
      <c r="L279" s="389"/>
      <c r="M279" s="389"/>
      <c r="N279" s="389"/>
      <c r="O279" s="389"/>
      <c r="P279" s="389"/>
    </row>
    <row r="280" spans="5:16">
      <c r="E280" s="389"/>
      <c r="F280" s="389"/>
      <c r="G280" s="389"/>
      <c r="H280" s="389"/>
      <c r="I280" s="389"/>
      <c r="J280" s="389"/>
      <c r="K280" s="389"/>
      <c r="L280" s="389"/>
      <c r="M280" s="389"/>
      <c r="N280" s="389"/>
      <c r="O280" s="389"/>
      <c r="P280" s="389"/>
    </row>
    <row r="281" spans="5:16">
      <c r="E281" s="389"/>
      <c r="F281" s="389"/>
      <c r="G281" s="389"/>
      <c r="H281" s="389"/>
      <c r="I281" s="389"/>
      <c r="J281" s="389"/>
      <c r="K281" s="389"/>
      <c r="L281" s="389"/>
      <c r="M281" s="389"/>
      <c r="N281" s="389"/>
      <c r="O281" s="389"/>
      <c r="P281" s="389"/>
    </row>
    <row r="282" spans="5:16">
      <c r="E282" s="389"/>
      <c r="F282" s="389"/>
      <c r="G282" s="389"/>
      <c r="H282" s="389"/>
      <c r="I282" s="389"/>
      <c r="J282" s="389"/>
      <c r="K282" s="389"/>
      <c r="L282" s="389"/>
      <c r="M282" s="389"/>
      <c r="N282" s="389"/>
      <c r="O282" s="389"/>
      <c r="P282" s="389"/>
    </row>
    <row r="283" spans="5:16">
      <c r="E283" s="389"/>
      <c r="F283" s="389"/>
      <c r="G283" s="389"/>
      <c r="H283" s="389"/>
      <c r="I283" s="389"/>
      <c r="J283" s="389"/>
      <c r="K283" s="389"/>
      <c r="L283" s="389"/>
      <c r="M283" s="389"/>
      <c r="N283" s="389"/>
      <c r="O283" s="389"/>
      <c r="P283" s="389"/>
    </row>
    <row r="284" spans="5:16">
      <c r="E284" s="389"/>
      <c r="F284" s="389"/>
      <c r="G284" s="389"/>
      <c r="H284" s="389"/>
      <c r="I284" s="389"/>
      <c r="J284" s="389"/>
      <c r="K284" s="389"/>
      <c r="L284" s="389"/>
      <c r="M284" s="389"/>
      <c r="N284" s="389"/>
      <c r="O284" s="389"/>
      <c r="P284" s="389"/>
    </row>
    <row r="285" spans="5:16">
      <c r="E285" s="389"/>
      <c r="F285" s="389"/>
      <c r="G285" s="389"/>
      <c r="H285" s="389"/>
      <c r="I285" s="389"/>
      <c r="J285" s="389"/>
      <c r="K285" s="389"/>
      <c r="L285" s="389"/>
      <c r="M285" s="389"/>
      <c r="N285" s="389"/>
      <c r="O285" s="389"/>
      <c r="P285" s="389"/>
    </row>
    <row r="286" spans="5:16">
      <c r="E286" s="389"/>
      <c r="F286" s="389"/>
      <c r="G286" s="389"/>
      <c r="H286" s="389"/>
      <c r="I286" s="389"/>
      <c r="J286" s="389"/>
      <c r="K286" s="389"/>
      <c r="L286" s="389"/>
      <c r="M286" s="389"/>
      <c r="N286" s="389"/>
      <c r="O286" s="389"/>
      <c r="P286" s="389"/>
    </row>
    <row r="287" spans="5:16">
      <c r="E287" s="389"/>
      <c r="F287" s="389"/>
      <c r="G287" s="389"/>
      <c r="H287" s="389"/>
      <c r="I287" s="389"/>
      <c r="J287" s="389"/>
      <c r="K287" s="389"/>
      <c r="L287" s="389"/>
      <c r="M287" s="389"/>
      <c r="N287" s="389"/>
      <c r="O287" s="389"/>
      <c r="P287" s="389"/>
    </row>
    <row r="288" spans="5:16">
      <c r="E288" s="389"/>
      <c r="F288" s="389"/>
      <c r="G288" s="389"/>
      <c r="H288" s="389"/>
      <c r="I288" s="389"/>
      <c r="J288" s="389"/>
      <c r="K288" s="389"/>
      <c r="L288" s="389"/>
      <c r="M288" s="389"/>
      <c r="N288" s="389"/>
      <c r="O288" s="389"/>
      <c r="P288" s="389"/>
    </row>
    <row r="289" spans="5:16">
      <c r="E289" s="389"/>
      <c r="F289" s="389"/>
      <c r="G289" s="389"/>
      <c r="H289" s="389"/>
      <c r="I289" s="389"/>
      <c r="J289" s="389"/>
      <c r="K289" s="389"/>
      <c r="L289" s="389"/>
      <c r="M289" s="389"/>
      <c r="N289" s="389"/>
      <c r="O289" s="389"/>
      <c r="P289" s="389"/>
    </row>
    <row r="290" spans="5:16">
      <c r="E290" s="389"/>
      <c r="F290" s="389"/>
      <c r="G290" s="389"/>
      <c r="H290" s="389"/>
      <c r="I290" s="389"/>
      <c r="J290" s="389"/>
      <c r="K290" s="389"/>
      <c r="L290" s="389"/>
      <c r="M290" s="389"/>
      <c r="N290" s="389"/>
      <c r="O290" s="389"/>
      <c r="P290" s="389"/>
    </row>
    <row r="291" spans="5:16">
      <c r="E291" s="389"/>
      <c r="F291" s="389"/>
      <c r="G291" s="389"/>
      <c r="H291" s="389"/>
      <c r="I291" s="389"/>
      <c r="J291" s="389"/>
      <c r="K291" s="389"/>
      <c r="L291" s="389"/>
      <c r="M291" s="389"/>
      <c r="N291" s="389"/>
      <c r="O291" s="389"/>
      <c r="P291" s="389"/>
    </row>
    <row r="292" spans="5:16">
      <c r="E292" s="389"/>
      <c r="F292" s="389"/>
      <c r="G292" s="389"/>
      <c r="H292" s="389"/>
      <c r="I292" s="389"/>
      <c r="J292" s="389"/>
      <c r="K292" s="389"/>
      <c r="L292" s="389"/>
      <c r="M292" s="389"/>
      <c r="N292" s="389"/>
      <c r="O292" s="389"/>
      <c r="P292" s="389"/>
    </row>
    <row r="293" spans="5:16">
      <c r="E293" s="389"/>
      <c r="F293" s="389"/>
      <c r="G293" s="389"/>
      <c r="H293" s="389"/>
      <c r="I293" s="389"/>
      <c r="J293" s="389"/>
      <c r="K293" s="389"/>
      <c r="L293" s="389"/>
      <c r="M293" s="389"/>
      <c r="N293" s="389"/>
      <c r="O293" s="389"/>
      <c r="P293" s="389"/>
    </row>
    <row r="294" spans="5:16">
      <c r="E294" s="389"/>
      <c r="F294" s="389"/>
      <c r="G294" s="389"/>
      <c r="H294" s="389"/>
      <c r="I294" s="389"/>
      <c r="J294" s="389"/>
      <c r="K294" s="389"/>
      <c r="L294" s="389"/>
      <c r="M294" s="389"/>
      <c r="N294" s="389"/>
      <c r="O294" s="389"/>
      <c r="P294" s="389"/>
    </row>
    <row r="295" spans="5:16">
      <c r="E295" s="389"/>
      <c r="F295" s="389"/>
      <c r="G295" s="389"/>
      <c r="H295" s="389"/>
      <c r="I295" s="389"/>
      <c r="J295" s="389"/>
      <c r="K295" s="389"/>
      <c r="L295" s="389"/>
      <c r="M295" s="389"/>
      <c r="N295" s="389"/>
      <c r="O295" s="389"/>
      <c r="P295" s="389"/>
    </row>
    <row r="296" spans="5:16">
      <c r="E296" s="389"/>
      <c r="F296" s="389"/>
      <c r="G296" s="389"/>
      <c r="H296" s="389"/>
      <c r="I296" s="389"/>
      <c r="J296" s="389"/>
      <c r="K296" s="389"/>
      <c r="L296" s="389"/>
      <c r="M296" s="389"/>
      <c r="N296" s="389"/>
      <c r="O296" s="389"/>
      <c r="P296" s="389"/>
    </row>
    <row r="297" spans="5:16">
      <c r="E297" s="389"/>
      <c r="F297" s="389"/>
      <c r="G297" s="389"/>
      <c r="H297" s="389"/>
      <c r="I297" s="389"/>
      <c r="J297" s="389"/>
      <c r="K297" s="389"/>
      <c r="L297" s="389"/>
      <c r="M297" s="389"/>
      <c r="N297" s="389"/>
      <c r="O297" s="389"/>
      <c r="P297" s="389"/>
    </row>
    <row r="298" spans="5:16">
      <c r="E298" s="389"/>
      <c r="F298" s="389"/>
      <c r="G298" s="389"/>
      <c r="H298" s="389"/>
      <c r="I298" s="389"/>
      <c r="J298" s="389"/>
      <c r="K298" s="389"/>
      <c r="L298" s="389"/>
      <c r="M298" s="389"/>
      <c r="N298" s="389"/>
      <c r="O298" s="389"/>
      <c r="P298" s="389"/>
    </row>
    <row r="299" spans="5:16">
      <c r="E299" s="389"/>
      <c r="F299" s="389"/>
      <c r="G299" s="389"/>
      <c r="H299" s="389"/>
      <c r="I299" s="389"/>
      <c r="J299" s="389"/>
      <c r="K299" s="389"/>
      <c r="L299" s="389"/>
      <c r="M299" s="389"/>
      <c r="N299" s="389"/>
      <c r="O299" s="389"/>
      <c r="P299" s="389"/>
    </row>
    <row r="300" spans="5:16">
      <c r="E300" s="389"/>
      <c r="F300" s="389"/>
      <c r="G300" s="389"/>
      <c r="H300" s="389"/>
      <c r="I300" s="389"/>
      <c r="J300" s="389"/>
      <c r="K300" s="389"/>
      <c r="L300" s="389"/>
      <c r="M300" s="389"/>
      <c r="N300" s="389"/>
      <c r="O300" s="389"/>
      <c r="P300" s="389"/>
    </row>
    <row r="301" spans="5:16">
      <c r="E301" s="389"/>
      <c r="F301" s="389"/>
      <c r="G301" s="389"/>
      <c r="H301" s="389"/>
      <c r="I301" s="389"/>
      <c r="J301" s="389"/>
      <c r="K301" s="389"/>
      <c r="L301" s="389"/>
      <c r="M301" s="389"/>
      <c r="N301" s="389"/>
      <c r="O301" s="389"/>
      <c r="P301" s="389"/>
    </row>
    <row r="302" spans="5:16">
      <c r="E302" s="389"/>
      <c r="F302" s="389"/>
      <c r="G302" s="389"/>
      <c r="H302" s="389"/>
      <c r="I302" s="389"/>
      <c r="J302" s="389"/>
      <c r="K302" s="389"/>
      <c r="L302" s="389"/>
      <c r="M302" s="389"/>
      <c r="N302" s="389"/>
      <c r="O302" s="389"/>
      <c r="P302" s="389"/>
    </row>
    <row r="303" spans="5:16">
      <c r="E303" s="389"/>
      <c r="F303" s="389"/>
      <c r="G303" s="389"/>
      <c r="H303" s="389"/>
      <c r="I303" s="389"/>
      <c r="J303" s="389"/>
      <c r="K303" s="389"/>
      <c r="L303" s="389"/>
      <c r="M303" s="389"/>
      <c r="N303" s="389"/>
      <c r="O303" s="389"/>
      <c r="P303" s="389"/>
    </row>
    <row r="304" spans="5:16">
      <c r="E304" s="389"/>
      <c r="F304" s="389"/>
      <c r="G304" s="389"/>
      <c r="H304" s="389"/>
      <c r="I304" s="389"/>
      <c r="J304" s="389"/>
      <c r="K304" s="389"/>
      <c r="L304" s="389"/>
      <c r="M304" s="389"/>
      <c r="N304" s="389"/>
      <c r="O304" s="389"/>
      <c r="P304" s="389"/>
    </row>
    <row r="305" spans="5:16">
      <c r="E305" s="389"/>
      <c r="F305" s="389"/>
      <c r="G305" s="389"/>
      <c r="H305" s="389"/>
      <c r="I305" s="389"/>
      <c r="J305" s="389"/>
      <c r="K305" s="389"/>
      <c r="L305" s="389"/>
      <c r="M305" s="389"/>
      <c r="N305" s="389"/>
      <c r="O305" s="389"/>
      <c r="P305" s="389"/>
    </row>
    <row r="306" spans="5:16">
      <c r="E306" s="389"/>
      <c r="F306" s="389"/>
      <c r="G306" s="389"/>
      <c r="H306" s="389"/>
      <c r="I306" s="389"/>
      <c r="J306" s="389"/>
      <c r="K306" s="389"/>
      <c r="L306" s="389"/>
      <c r="M306" s="389"/>
      <c r="N306" s="389"/>
      <c r="O306" s="389"/>
      <c r="P306" s="389"/>
    </row>
    <row r="307" spans="5:16">
      <c r="E307" s="389"/>
      <c r="F307" s="389"/>
      <c r="G307" s="389"/>
      <c r="H307" s="389"/>
      <c r="I307" s="389"/>
      <c r="J307" s="389"/>
      <c r="K307" s="389"/>
      <c r="L307" s="389"/>
      <c r="M307" s="389"/>
      <c r="N307" s="389"/>
      <c r="O307" s="389"/>
      <c r="P307" s="389"/>
    </row>
    <row r="308" spans="5:16">
      <c r="E308" s="389"/>
      <c r="F308" s="389"/>
      <c r="G308" s="389"/>
      <c r="H308" s="389"/>
      <c r="I308" s="389"/>
      <c r="J308" s="389"/>
      <c r="K308" s="389"/>
      <c r="L308" s="389"/>
      <c r="M308" s="389"/>
      <c r="N308" s="389"/>
      <c r="O308" s="389"/>
      <c r="P308" s="389"/>
    </row>
    <row r="309" spans="5:16">
      <c r="E309" s="389"/>
      <c r="F309" s="389"/>
      <c r="G309" s="389"/>
      <c r="H309" s="389"/>
      <c r="I309" s="389"/>
      <c r="J309" s="389"/>
      <c r="K309" s="389"/>
      <c r="L309" s="389"/>
      <c r="M309" s="389"/>
      <c r="N309" s="389"/>
      <c r="O309" s="389"/>
      <c r="P309" s="389"/>
    </row>
    <row r="310" spans="5:16">
      <c r="E310" s="389"/>
      <c r="F310" s="389"/>
      <c r="G310" s="389"/>
      <c r="H310" s="389"/>
      <c r="I310" s="389"/>
      <c r="J310" s="389"/>
      <c r="K310" s="389"/>
      <c r="L310" s="389"/>
      <c r="M310" s="389"/>
      <c r="N310" s="389"/>
      <c r="O310" s="389"/>
      <c r="P310" s="389"/>
    </row>
    <row r="311" spans="5:16">
      <c r="E311" s="389"/>
      <c r="F311" s="389"/>
      <c r="G311" s="389"/>
      <c r="H311" s="389"/>
      <c r="I311" s="389"/>
      <c r="J311" s="389"/>
      <c r="K311" s="389"/>
      <c r="L311" s="389"/>
      <c r="M311" s="389"/>
      <c r="N311" s="389"/>
      <c r="O311" s="389"/>
      <c r="P311" s="389"/>
    </row>
    <row r="312" spans="5:16">
      <c r="E312" s="389"/>
      <c r="F312" s="389"/>
      <c r="G312" s="389"/>
      <c r="H312" s="389"/>
      <c r="I312" s="389"/>
      <c r="J312" s="389"/>
      <c r="K312" s="389"/>
      <c r="L312" s="389"/>
      <c r="M312" s="389"/>
      <c r="N312" s="389"/>
      <c r="O312" s="389"/>
      <c r="P312" s="389"/>
    </row>
    <row r="313" spans="5:16">
      <c r="E313" s="389"/>
      <c r="F313" s="389"/>
      <c r="G313" s="389"/>
      <c r="H313" s="389"/>
      <c r="I313" s="389"/>
      <c r="J313" s="389"/>
      <c r="K313" s="389"/>
      <c r="L313" s="389"/>
      <c r="M313" s="389"/>
      <c r="N313" s="389"/>
      <c r="O313" s="389"/>
      <c r="P313" s="389"/>
    </row>
    <row r="314" spans="5:16">
      <c r="E314" s="389"/>
      <c r="F314" s="389"/>
      <c r="G314" s="389"/>
      <c r="H314" s="389"/>
      <c r="I314" s="389"/>
      <c r="J314" s="389"/>
      <c r="K314" s="389"/>
      <c r="L314" s="389"/>
      <c r="M314" s="389"/>
      <c r="N314" s="389"/>
      <c r="O314" s="389"/>
      <c r="P314" s="389"/>
    </row>
    <row r="315" spans="5:16">
      <c r="E315" s="389"/>
      <c r="F315" s="389"/>
      <c r="G315" s="389"/>
      <c r="H315" s="389"/>
      <c r="I315" s="389"/>
      <c r="J315" s="389"/>
      <c r="K315" s="389"/>
      <c r="L315" s="389"/>
      <c r="M315" s="389"/>
      <c r="N315" s="389"/>
      <c r="O315" s="389"/>
      <c r="P315" s="389"/>
    </row>
    <row r="316" spans="5:16">
      <c r="E316" s="389"/>
      <c r="F316" s="389"/>
      <c r="G316" s="389"/>
      <c r="H316" s="389"/>
      <c r="I316" s="389"/>
      <c r="J316" s="389"/>
      <c r="K316" s="389"/>
      <c r="L316" s="389"/>
      <c r="M316" s="389"/>
      <c r="N316" s="389"/>
      <c r="O316" s="389"/>
      <c r="P316" s="389"/>
    </row>
    <row r="317" spans="5:16">
      <c r="E317" s="389"/>
      <c r="F317" s="389"/>
      <c r="G317" s="389"/>
      <c r="H317" s="389"/>
      <c r="I317" s="389"/>
      <c r="J317" s="389"/>
      <c r="K317" s="389"/>
      <c r="L317" s="389"/>
      <c r="M317" s="389"/>
      <c r="N317" s="389"/>
      <c r="O317" s="389"/>
      <c r="P317" s="389"/>
    </row>
    <row r="318" spans="5:16">
      <c r="E318" s="389"/>
      <c r="F318" s="389"/>
      <c r="G318" s="389"/>
      <c r="H318" s="389"/>
      <c r="I318" s="389"/>
      <c r="J318" s="389"/>
      <c r="K318" s="389"/>
      <c r="L318" s="389"/>
      <c r="M318" s="389"/>
      <c r="N318" s="389"/>
      <c r="O318" s="389"/>
      <c r="P318" s="389"/>
    </row>
    <row r="319" spans="5:16">
      <c r="E319" s="389"/>
      <c r="F319" s="389"/>
      <c r="G319" s="389"/>
      <c r="H319" s="389"/>
      <c r="I319" s="389"/>
      <c r="J319" s="389"/>
      <c r="K319" s="389"/>
      <c r="L319" s="389"/>
      <c r="M319" s="389"/>
      <c r="N319" s="389"/>
      <c r="O319" s="389"/>
      <c r="P319" s="389"/>
    </row>
    <row r="320" spans="5:16">
      <c r="E320" s="389"/>
      <c r="F320" s="389"/>
      <c r="G320" s="389"/>
      <c r="H320" s="389"/>
      <c r="I320" s="389"/>
      <c r="J320" s="389"/>
      <c r="K320" s="389"/>
      <c r="L320" s="389"/>
      <c r="M320" s="389"/>
      <c r="N320" s="389"/>
      <c r="O320" s="389"/>
      <c r="P320" s="389"/>
    </row>
    <row r="321" spans="5:16">
      <c r="E321" s="389"/>
      <c r="F321" s="389"/>
      <c r="G321" s="389"/>
      <c r="H321" s="389"/>
      <c r="I321" s="389"/>
      <c r="J321" s="389"/>
      <c r="K321" s="389"/>
      <c r="L321" s="389"/>
      <c r="M321" s="389"/>
      <c r="N321" s="389"/>
      <c r="O321" s="389"/>
      <c r="P321" s="389"/>
    </row>
    <row r="322" spans="5:16">
      <c r="E322" s="389"/>
      <c r="F322" s="389"/>
      <c r="G322" s="389"/>
      <c r="H322" s="389"/>
      <c r="I322" s="389"/>
      <c r="J322" s="389"/>
      <c r="K322" s="389"/>
      <c r="L322" s="389"/>
      <c r="M322" s="389"/>
      <c r="N322" s="389"/>
      <c r="O322" s="389"/>
      <c r="P322" s="389"/>
    </row>
    <row r="323" spans="5:16">
      <c r="E323" s="389"/>
      <c r="F323" s="389"/>
      <c r="G323" s="389"/>
      <c r="H323" s="389"/>
      <c r="I323" s="389"/>
      <c r="J323" s="389"/>
      <c r="K323" s="389"/>
      <c r="L323" s="389"/>
      <c r="M323" s="389"/>
      <c r="N323" s="389"/>
      <c r="O323" s="389"/>
      <c r="P323" s="389"/>
    </row>
    <row r="324" spans="5:16">
      <c r="E324" s="389"/>
      <c r="F324" s="389"/>
      <c r="G324" s="389"/>
      <c r="H324" s="389"/>
      <c r="I324" s="389"/>
      <c r="J324" s="389"/>
      <c r="K324" s="389"/>
      <c r="L324" s="389"/>
      <c r="M324" s="389"/>
      <c r="N324" s="389"/>
      <c r="O324" s="389"/>
      <c r="P324" s="389"/>
    </row>
    <row r="325" spans="5:16">
      <c r="E325" s="389"/>
      <c r="F325" s="389"/>
      <c r="G325" s="389"/>
      <c r="H325" s="389"/>
      <c r="I325" s="389"/>
      <c r="J325" s="389"/>
      <c r="K325" s="389"/>
      <c r="L325" s="389"/>
      <c r="M325" s="389"/>
      <c r="N325" s="389"/>
      <c r="O325" s="389"/>
      <c r="P325" s="389"/>
    </row>
    <row r="326" spans="5:16">
      <c r="E326" s="389"/>
      <c r="F326" s="389"/>
      <c r="G326" s="389"/>
      <c r="H326" s="389"/>
      <c r="I326" s="389"/>
      <c r="J326" s="389"/>
      <c r="K326" s="389"/>
      <c r="L326" s="389"/>
      <c r="M326" s="389"/>
      <c r="N326" s="389"/>
      <c r="O326" s="389"/>
      <c r="P326" s="389"/>
    </row>
    <row r="327" spans="5:16">
      <c r="E327" s="389"/>
      <c r="F327" s="389"/>
      <c r="G327" s="389"/>
      <c r="H327" s="389"/>
      <c r="I327" s="389"/>
      <c r="J327" s="389"/>
      <c r="K327" s="389"/>
      <c r="L327" s="389"/>
      <c r="M327" s="389"/>
      <c r="N327" s="389"/>
      <c r="O327" s="389"/>
      <c r="P327" s="389"/>
    </row>
    <row r="328" spans="5:16">
      <c r="E328" s="389"/>
      <c r="F328" s="389"/>
      <c r="G328" s="389"/>
      <c r="H328" s="389"/>
      <c r="I328" s="389"/>
      <c r="J328" s="389"/>
      <c r="K328" s="389"/>
      <c r="L328" s="389"/>
      <c r="M328" s="389"/>
      <c r="N328" s="389"/>
      <c r="O328" s="389"/>
      <c r="P328" s="389"/>
    </row>
    <row r="329" spans="5:16">
      <c r="E329" s="389"/>
      <c r="F329" s="389"/>
      <c r="G329" s="389"/>
      <c r="H329" s="389"/>
      <c r="I329" s="389"/>
      <c r="J329" s="389"/>
      <c r="K329" s="389"/>
      <c r="L329" s="389"/>
      <c r="M329" s="389"/>
      <c r="N329" s="389"/>
      <c r="O329" s="389"/>
      <c r="P329" s="389"/>
    </row>
    <row r="330" spans="5:16">
      <c r="E330" s="389"/>
      <c r="F330" s="389"/>
      <c r="G330" s="389"/>
      <c r="H330" s="389"/>
      <c r="I330" s="389"/>
      <c r="J330" s="389"/>
      <c r="K330" s="389"/>
      <c r="L330" s="389"/>
      <c r="M330" s="389"/>
      <c r="N330" s="389"/>
      <c r="O330" s="389"/>
      <c r="P330" s="389"/>
    </row>
    <row r="331" spans="5:16">
      <c r="E331" s="389"/>
      <c r="F331" s="389"/>
      <c r="G331" s="389"/>
      <c r="H331" s="389"/>
      <c r="I331" s="389"/>
      <c r="J331" s="389"/>
      <c r="K331" s="389"/>
      <c r="L331" s="389"/>
      <c r="M331" s="389"/>
      <c r="N331" s="389"/>
      <c r="O331" s="389"/>
      <c r="P331" s="389"/>
    </row>
    <row r="332" spans="5:16">
      <c r="E332" s="389"/>
      <c r="F332" s="389"/>
      <c r="G332" s="389"/>
      <c r="H332" s="389"/>
      <c r="I332" s="389"/>
      <c r="J332" s="389"/>
      <c r="K332" s="389"/>
      <c r="L332" s="389"/>
      <c r="M332" s="389"/>
      <c r="N332" s="389"/>
      <c r="O332" s="389"/>
      <c r="P332" s="389"/>
    </row>
    <row r="333" spans="5:16">
      <c r="E333" s="389"/>
      <c r="F333" s="389"/>
      <c r="G333" s="389"/>
      <c r="H333" s="389"/>
      <c r="I333" s="389"/>
      <c r="J333" s="389"/>
      <c r="K333" s="389"/>
      <c r="L333" s="389"/>
      <c r="M333" s="389"/>
      <c r="N333" s="389"/>
      <c r="O333" s="389"/>
      <c r="P333" s="389"/>
    </row>
    <row r="334" spans="5:16">
      <c r="E334" s="389"/>
      <c r="F334" s="389"/>
      <c r="G334" s="389"/>
      <c r="H334" s="389"/>
      <c r="I334" s="389"/>
      <c r="J334" s="389"/>
      <c r="K334" s="389"/>
      <c r="L334" s="389"/>
      <c r="M334" s="389"/>
      <c r="N334" s="389"/>
      <c r="O334" s="389"/>
      <c r="P334" s="389"/>
    </row>
    <row r="335" spans="5:16">
      <c r="E335" s="389"/>
      <c r="F335" s="389"/>
      <c r="G335" s="389"/>
      <c r="H335" s="389"/>
      <c r="I335" s="389"/>
      <c r="J335" s="389"/>
      <c r="K335" s="389"/>
      <c r="L335" s="389"/>
      <c r="M335" s="389"/>
      <c r="N335" s="389"/>
      <c r="O335" s="389"/>
      <c r="P335" s="389"/>
    </row>
    <row r="336" spans="5:16">
      <c r="E336" s="389"/>
      <c r="F336" s="389"/>
      <c r="G336" s="389"/>
      <c r="H336" s="389"/>
      <c r="I336" s="389"/>
      <c r="J336" s="389"/>
      <c r="K336" s="389"/>
      <c r="L336" s="389"/>
      <c r="M336" s="389"/>
      <c r="N336" s="389"/>
      <c r="O336" s="389"/>
      <c r="P336" s="389"/>
    </row>
    <row r="337" spans="5:16">
      <c r="E337" s="389"/>
      <c r="F337" s="389"/>
      <c r="G337" s="389"/>
      <c r="H337" s="389"/>
      <c r="I337" s="389"/>
      <c r="J337" s="389"/>
      <c r="K337" s="389"/>
      <c r="L337" s="389"/>
      <c r="M337" s="389"/>
      <c r="N337" s="389"/>
      <c r="O337" s="389"/>
      <c r="P337" s="389"/>
    </row>
    <row r="338" spans="5:16">
      <c r="E338" s="389"/>
      <c r="F338" s="389"/>
      <c r="G338" s="389"/>
      <c r="H338" s="389"/>
      <c r="I338" s="389"/>
      <c r="J338" s="389"/>
      <c r="K338" s="389"/>
      <c r="L338" s="389"/>
      <c r="M338" s="389"/>
      <c r="N338" s="389"/>
      <c r="O338" s="389"/>
      <c r="P338" s="389"/>
    </row>
    <row r="339" spans="5:16">
      <c r="E339" s="389"/>
      <c r="F339" s="389"/>
      <c r="G339" s="389"/>
      <c r="H339" s="389"/>
      <c r="I339" s="389"/>
      <c r="J339" s="389"/>
      <c r="K339" s="389"/>
      <c r="L339" s="389"/>
      <c r="M339" s="389"/>
      <c r="N339" s="389"/>
      <c r="O339" s="389"/>
      <c r="P339" s="389"/>
    </row>
    <row r="340" spans="5:16">
      <c r="E340" s="389"/>
      <c r="F340" s="389"/>
      <c r="G340" s="389"/>
      <c r="H340" s="389"/>
      <c r="I340" s="389"/>
      <c r="J340" s="389"/>
      <c r="K340" s="389"/>
      <c r="L340" s="389"/>
      <c r="M340" s="389"/>
      <c r="N340" s="389"/>
      <c r="O340" s="389"/>
      <c r="P340" s="389"/>
    </row>
    <row r="341" spans="5:16">
      <c r="E341" s="389"/>
      <c r="F341" s="389"/>
      <c r="G341" s="389"/>
      <c r="H341" s="389"/>
      <c r="I341" s="389"/>
      <c r="J341" s="389"/>
      <c r="K341" s="389"/>
      <c r="L341" s="389"/>
      <c r="M341" s="389"/>
      <c r="N341" s="389"/>
      <c r="O341" s="389"/>
      <c r="P341" s="389"/>
    </row>
    <row r="342" spans="5:16">
      <c r="E342" s="389"/>
      <c r="F342" s="389"/>
      <c r="G342" s="389"/>
      <c r="H342" s="389"/>
      <c r="I342" s="389"/>
      <c r="J342" s="389"/>
      <c r="K342" s="389"/>
      <c r="L342" s="389"/>
      <c r="M342" s="389"/>
      <c r="N342" s="389"/>
      <c r="O342" s="389"/>
      <c r="P342" s="389"/>
    </row>
    <row r="343" spans="5:16">
      <c r="E343" s="389"/>
      <c r="F343" s="389"/>
      <c r="G343" s="389"/>
      <c r="H343" s="389"/>
      <c r="I343" s="389"/>
      <c r="J343" s="389"/>
      <c r="K343" s="389"/>
      <c r="L343" s="389"/>
      <c r="M343" s="389"/>
      <c r="N343" s="389"/>
      <c r="O343" s="389"/>
      <c r="P343" s="389"/>
    </row>
    <row r="344" spans="5:16">
      <c r="E344" s="389"/>
      <c r="F344" s="389"/>
      <c r="G344" s="389"/>
      <c r="H344" s="389"/>
      <c r="I344" s="389"/>
      <c r="J344" s="389"/>
      <c r="K344" s="389"/>
      <c r="L344" s="389"/>
      <c r="M344" s="389"/>
      <c r="N344" s="389"/>
      <c r="O344" s="389"/>
      <c r="P344" s="389"/>
    </row>
    <row r="345" spans="5:16">
      <c r="E345" s="389"/>
      <c r="F345" s="389"/>
      <c r="G345" s="389"/>
      <c r="H345" s="389"/>
      <c r="I345" s="389"/>
      <c r="J345" s="389"/>
      <c r="K345" s="389"/>
      <c r="L345" s="389"/>
      <c r="M345" s="389"/>
      <c r="N345" s="389"/>
      <c r="O345" s="389"/>
      <c r="P345" s="389"/>
    </row>
    <row r="346" spans="5:16">
      <c r="E346" s="389"/>
      <c r="F346" s="389"/>
      <c r="G346" s="389"/>
      <c r="H346" s="389"/>
      <c r="I346" s="389"/>
      <c r="J346" s="389"/>
      <c r="K346" s="389"/>
      <c r="L346" s="389"/>
      <c r="M346" s="389"/>
      <c r="N346" s="389"/>
      <c r="O346" s="389"/>
      <c r="P346" s="389"/>
    </row>
    <row r="347" spans="5:16">
      <c r="E347" s="389"/>
      <c r="F347" s="389"/>
      <c r="G347" s="389"/>
      <c r="H347" s="389"/>
      <c r="I347" s="389"/>
      <c r="J347" s="389"/>
      <c r="K347" s="389"/>
      <c r="L347" s="389"/>
      <c r="M347" s="389"/>
      <c r="N347" s="389"/>
      <c r="O347" s="389"/>
      <c r="P347" s="389"/>
    </row>
    <row r="348" spans="5:16">
      <c r="E348" s="389"/>
      <c r="F348" s="389"/>
      <c r="G348" s="389"/>
      <c r="H348" s="389"/>
      <c r="I348" s="389"/>
      <c r="J348" s="389"/>
      <c r="K348" s="389"/>
      <c r="L348" s="389"/>
      <c r="M348" s="389"/>
      <c r="N348" s="389"/>
      <c r="O348" s="389"/>
      <c r="P348" s="389"/>
    </row>
    <row r="349" spans="5:16">
      <c r="E349" s="389"/>
      <c r="F349" s="389"/>
      <c r="G349" s="389"/>
      <c r="H349" s="389"/>
      <c r="I349" s="389"/>
      <c r="J349" s="389"/>
      <c r="K349" s="389"/>
      <c r="L349" s="389"/>
      <c r="M349" s="389"/>
      <c r="N349" s="389"/>
      <c r="O349" s="389"/>
      <c r="P349" s="389"/>
    </row>
    <row r="350" spans="5:16">
      <c r="E350" s="389"/>
      <c r="F350" s="389"/>
      <c r="G350" s="389"/>
      <c r="H350" s="389"/>
      <c r="I350" s="389"/>
      <c r="J350" s="389"/>
      <c r="K350" s="389"/>
      <c r="L350" s="389"/>
      <c r="M350" s="389"/>
      <c r="N350" s="389"/>
      <c r="O350" s="389"/>
      <c r="P350" s="389"/>
    </row>
    <row r="351" spans="5:16">
      <c r="E351" s="389"/>
      <c r="F351" s="389"/>
      <c r="G351" s="389"/>
      <c r="H351" s="389"/>
      <c r="I351" s="389"/>
      <c r="J351" s="389"/>
      <c r="K351" s="389"/>
      <c r="L351" s="389"/>
      <c r="M351" s="389"/>
      <c r="N351" s="389"/>
      <c r="O351" s="389"/>
      <c r="P351" s="389"/>
    </row>
    <row r="352" spans="5:16">
      <c r="E352" s="389"/>
      <c r="F352" s="389"/>
      <c r="G352" s="389"/>
      <c r="H352" s="389"/>
      <c r="I352" s="389"/>
      <c r="J352" s="389"/>
      <c r="K352" s="389"/>
      <c r="L352" s="389"/>
      <c r="M352" s="389"/>
      <c r="N352" s="389"/>
      <c r="O352" s="389"/>
      <c r="P352" s="389"/>
    </row>
    <row r="353" spans="5:16">
      <c r="E353" s="389"/>
      <c r="F353" s="389"/>
      <c r="G353" s="389"/>
      <c r="H353" s="389"/>
      <c r="I353" s="389"/>
      <c r="J353" s="389"/>
      <c r="K353" s="389"/>
      <c r="L353" s="389"/>
      <c r="M353" s="389"/>
      <c r="N353" s="389"/>
      <c r="O353" s="389"/>
      <c r="P353" s="389"/>
    </row>
    <row r="354" spans="5:16">
      <c r="E354" s="389"/>
      <c r="F354" s="389"/>
      <c r="G354" s="389"/>
      <c r="H354" s="389"/>
      <c r="I354" s="389"/>
      <c r="J354" s="389"/>
      <c r="K354" s="389"/>
      <c r="L354" s="389"/>
      <c r="M354" s="389"/>
      <c r="N354" s="389"/>
      <c r="O354" s="389"/>
      <c r="P354" s="389"/>
    </row>
    <row r="355" spans="5:16">
      <c r="E355" s="389"/>
      <c r="F355" s="389"/>
      <c r="G355" s="389"/>
      <c r="H355" s="389"/>
      <c r="I355" s="389"/>
      <c r="J355" s="389"/>
      <c r="K355" s="389"/>
      <c r="L355" s="389"/>
      <c r="M355" s="389"/>
      <c r="N355" s="389"/>
      <c r="O355" s="389"/>
      <c r="P355" s="389"/>
    </row>
    <row r="356" spans="5:16">
      <c r="E356" s="389"/>
      <c r="F356" s="389"/>
      <c r="G356" s="389"/>
      <c r="H356" s="389"/>
      <c r="I356" s="389"/>
      <c r="J356" s="389"/>
      <c r="K356" s="389"/>
      <c r="L356" s="389"/>
      <c r="M356" s="389"/>
      <c r="N356" s="389"/>
      <c r="O356" s="389"/>
      <c r="P356" s="389"/>
    </row>
    <row r="357" spans="5:16">
      <c r="E357" s="389"/>
      <c r="F357" s="389"/>
      <c r="G357" s="389"/>
      <c r="H357" s="389"/>
      <c r="I357" s="389"/>
      <c r="J357" s="389"/>
      <c r="K357" s="389"/>
      <c r="L357" s="389"/>
      <c r="M357" s="389"/>
      <c r="N357" s="389"/>
      <c r="O357" s="389"/>
      <c r="P357" s="389"/>
    </row>
    <row r="358" spans="5:16">
      <c r="E358" s="389"/>
      <c r="F358" s="389"/>
      <c r="G358" s="389"/>
      <c r="H358" s="389"/>
      <c r="I358" s="389"/>
      <c r="J358" s="389"/>
      <c r="K358" s="389"/>
      <c r="L358" s="389"/>
      <c r="M358" s="389"/>
      <c r="N358" s="389"/>
      <c r="O358" s="389"/>
      <c r="P358" s="389"/>
    </row>
    <row r="359" spans="5:16">
      <c r="E359" s="389"/>
      <c r="F359" s="389"/>
      <c r="G359" s="389"/>
      <c r="H359" s="389"/>
      <c r="I359" s="389"/>
      <c r="J359" s="389"/>
      <c r="K359" s="389"/>
      <c r="L359" s="389"/>
      <c r="M359" s="389"/>
      <c r="N359" s="389"/>
      <c r="O359" s="389"/>
      <c r="P359" s="389"/>
    </row>
    <row r="360" spans="5:16">
      <c r="E360" s="389"/>
      <c r="F360" s="389"/>
      <c r="G360" s="389"/>
      <c r="H360" s="389"/>
      <c r="I360" s="389"/>
      <c r="J360" s="389"/>
      <c r="K360" s="389"/>
      <c r="L360" s="389"/>
      <c r="M360" s="389"/>
      <c r="N360" s="389"/>
      <c r="O360" s="389"/>
      <c r="P360" s="389"/>
    </row>
    <row r="361" spans="5:16">
      <c r="E361" s="389"/>
      <c r="F361" s="389"/>
      <c r="G361" s="389"/>
      <c r="H361" s="389"/>
      <c r="I361" s="389"/>
      <c r="J361" s="389"/>
      <c r="K361" s="389"/>
      <c r="L361" s="389"/>
      <c r="M361" s="389"/>
      <c r="N361" s="389"/>
      <c r="O361" s="389"/>
      <c r="P361" s="389"/>
    </row>
    <row r="362" spans="5:16">
      <c r="E362" s="389"/>
      <c r="F362" s="389"/>
      <c r="G362" s="389"/>
      <c r="H362" s="389"/>
      <c r="I362" s="389"/>
      <c r="J362" s="389"/>
      <c r="K362" s="389"/>
      <c r="L362" s="389"/>
      <c r="M362" s="389"/>
      <c r="N362" s="389"/>
      <c r="O362" s="389"/>
      <c r="P362" s="389"/>
    </row>
    <row r="363" spans="5:16">
      <c r="E363" s="389"/>
      <c r="F363" s="389"/>
      <c r="G363" s="389"/>
      <c r="H363" s="389"/>
      <c r="I363" s="389"/>
      <c r="J363" s="389"/>
      <c r="K363" s="389"/>
      <c r="L363" s="389"/>
      <c r="M363" s="389"/>
      <c r="N363" s="389"/>
      <c r="O363" s="389"/>
      <c r="P363" s="389"/>
    </row>
    <row r="364" spans="5:16">
      <c r="E364" s="389"/>
      <c r="F364" s="389"/>
      <c r="G364" s="389"/>
      <c r="H364" s="389"/>
      <c r="I364" s="389"/>
      <c r="J364" s="389"/>
      <c r="K364" s="389"/>
      <c r="L364" s="389"/>
      <c r="M364" s="389"/>
      <c r="N364" s="389"/>
      <c r="O364" s="389"/>
      <c r="P364" s="389"/>
    </row>
    <row r="365" spans="5:16">
      <c r="E365" s="389"/>
      <c r="F365" s="389"/>
      <c r="G365" s="389"/>
      <c r="H365" s="389"/>
      <c r="I365" s="389"/>
      <c r="J365" s="389"/>
      <c r="K365" s="389"/>
      <c r="L365" s="389"/>
      <c r="M365" s="389"/>
      <c r="N365" s="389"/>
      <c r="O365" s="389"/>
      <c r="P365" s="389"/>
    </row>
    <row r="366" spans="5:16">
      <c r="E366" s="389"/>
      <c r="F366" s="389"/>
      <c r="G366" s="389"/>
      <c r="H366" s="389"/>
      <c r="I366" s="389"/>
      <c r="J366" s="389"/>
      <c r="K366" s="389"/>
      <c r="L366" s="389"/>
      <c r="M366" s="389"/>
      <c r="N366" s="389"/>
      <c r="O366" s="389"/>
      <c r="P366" s="389"/>
    </row>
    <row r="367" spans="5:16">
      <c r="E367" s="389"/>
      <c r="F367" s="389"/>
      <c r="G367" s="389"/>
      <c r="H367" s="389"/>
      <c r="I367" s="389"/>
      <c r="J367" s="389"/>
      <c r="K367" s="389"/>
      <c r="L367" s="389"/>
      <c r="M367" s="389"/>
      <c r="N367" s="389"/>
      <c r="O367" s="389"/>
      <c r="P367" s="389"/>
    </row>
    <row r="368" spans="5:16">
      <c r="E368" s="389"/>
      <c r="F368" s="389"/>
      <c r="G368" s="389"/>
      <c r="H368" s="389"/>
      <c r="I368" s="389"/>
      <c r="J368" s="389"/>
      <c r="K368" s="389"/>
      <c r="L368" s="389"/>
      <c r="M368" s="389"/>
      <c r="N368" s="389"/>
      <c r="O368" s="389"/>
      <c r="P368" s="389"/>
    </row>
    <row r="369" spans="5:16">
      <c r="E369" s="389"/>
      <c r="F369" s="389"/>
      <c r="G369" s="389"/>
      <c r="H369" s="389"/>
      <c r="I369" s="389"/>
      <c r="J369" s="389"/>
      <c r="K369" s="389"/>
      <c r="L369" s="389"/>
      <c r="M369" s="389"/>
      <c r="N369" s="389"/>
      <c r="O369" s="389"/>
      <c r="P369" s="389"/>
    </row>
    <row r="370" spans="5:16">
      <c r="E370" s="389"/>
      <c r="F370" s="389"/>
      <c r="G370" s="389"/>
      <c r="H370" s="389"/>
      <c r="I370" s="389"/>
      <c r="J370" s="389"/>
      <c r="K370" s="389"/>
      <c r="L370" s="389"/>
      <c r="M370" s="389"/>
      <c r="N370" s="389"/>
      <c r="O370" s="389"/>
      <c r="P370" s="389"/>
    </row>
    <row r="371" spans="5:16">
      <c r="E371" s="389"/>
      <c r="F371" s="389"/>
      <c r="G371" s="389"/>
      <c r="H371" s="389"/>
      <c r="I371" s="389"/>
      <c r="J371" s="389"/>
      <c r="K371" s="389"/>
      <c r="L371" s="389"/>
      <c r="M371" s="389"/>
      <c r="N371" s="389"/>
      <c r="O371" s="389"/>
      <c r="P371" s="389"/>
    </row>
    <row r="372" spans="5:16">
      <c r="E372" s="389"/>
      <c r="F372" s="389"/>
      <c r="G372" s="389"/>
      <c r="H372" s="389"/>
      <c r="I372" s="389"/>
      <c r="J372" s="389"/>
      <c r="K372" s="389"/>
      <c r="L372" s="389"/>
      <c r="M372" s="389"/>
      <c r="N372" s="389"/>
      <c r="O372" s="389"/>
      <c r="P372" s="389"/>
    </row>
    <row r="373" spans="5:16">
      <c r="E373" s="389"/>
      <c r="F373" s="389"/>
      <c r="G373" s="389"/>
      <c r="H373" s="389"/>
      <c r="I373" s="389"/>
      <c r="J373" s="389"/>
      <c r="K373" s="389"/>
      <c r="L373" s="389"/>
      <c r="M373" s="389"/>
      <c r="N373" s="389"/>
      <c r="O373" s="389"/>
      <c r="P373" s="389"/>
    </row>
    <row r="374" spans="5:16">
      <c r="E374" s="389"/>
      <c r="F374" s="389"/>
      <c r="G374" s="389"/>
      <c r="H374" s="389"/>
      <c r="I374" s="389"/>
      <c r="J374" s="389"/>
      <c r="K374" s="389"/>
      <c r="L374" s="389"/>
      <c r="M374" s="389"/>
      <c r="N374" s="389"/>
      <c r="O374" s="389"/>
      <c r="P374" s="389"/>
    </row>
    <row r="375" spans="5:16">
      <c r="E375" s="389"/>
      <c r="F375" s="389"/>
      <c r="G375" s="389"/>
      <c r="H375" s="389"/>
      <c r="I375" s="389"/>
      <c r="J375" s="389"/>
      <c r="K375" s="389"/>
      <c r="L375" s="389"/>
      <c r="M375" s="389"/>
      <c r="N375" s="389"/>
      <c r="O375" s="389"/>
      <c r="P375" s="389"/>
    </row>
    <row r="376" spans="5:16">
      <c r="E376" s="389"/>
      <c r="F376" s="389"/>
      <c r="G376" s="389"/>
      <c r="H376" s="389"/>
      <c r="I376" s="389"/>
      <c r="J376" s="389"/>
      <c r="K376" s="389"/>
      <c r="L376" s="389"/>
      <c r="M376" s="389"/>
      <c r="N376" s="389"/>
      <c r="O376" s="389"/>
      <c r="P376" s="389"/>
    </row>
    <row r="377" spans="5:16">
      <c r="E377" s="389"/>
      <c r="F377" s="389"/>
      <c r="G377" s="389"/>
      <c r="H377" s="389"/>
      <c r="I377" s="389"/>
      <c r="J377" s="389"/>
      <c r="K377" s="389"/>
      <c r="L377" s="389"/>
      <c r="M377" s="389"/>
      <c r="N377" s="389"/>
      <c r="O377" s="389"/>
      <c r="P377" s="389"/>
    </row>
    <row r="378" spans="5:16">
      <c r="E378" s="389"/>
      <c r="F378" s="389"/>
      <c r="G378" s="389"/>
      <c r="H378" s="389"/>
      <c r="I378" s="389"/>
      <c r="J378" s="389"/>
      <c r="K378" s="389"/>
      <c r="L378" s="389"/>
      <c r="M378" s="389"/>
      <c r="N378" s="389"/>
      <c r="O378" s="389"/>
      <c r="P378" s="389"/>
    </row>
    <row r="379" spans="5:16">
      <c r="E379" s="389"/>
      <c r="F379" s="389"/>
      <c r="G379" s="389"/>
      <c r="H379" s="389"/>
      <c r="I379" s="389"/>
      <c r="J379" s="389"/>
      <c r="K379" s="389"/>
      <c r="L379" s="389"/>
      <c r="M379" s="389"/>
      <c r="N379" s="389"/>
      <c r="O379" s="389"/>
      <c r="P379" s="389"/>
    </row>
    <row r="380" spans="5:16">
      <c r="E380" s="389"/>
      <c r="F380" s="389"/>
      <c r="G380" s="389"/>
      <c r="H380" s="389"/>
      <c r="I380" s="389"/>
      <c r="J380" s="389"/>
      <c r="K380" s="389"/>
      <c r="L380" s="389"/>
      <c r="M380" s="389"/>
      <c r="N380" s="389"/>
      <c r="O380" s="389"/>
      <c r="P380" s="389"/>
    </row>
    <row r="381" spans="5:16">
      <c r="E381" s="389"/>
      <c r="F381" s="389"/>
      <c r="G381" s="389"/>
      <c r="H381" s="389"/>
      <c r="I381" s="389"/>
      <c r="J381" s="389"/>
      <c r="K381" s="389"/>
      <c r="L381" s="389"/>
      <c r="M381" s="389"/>
      <c r="N381" s="389"/>
      <c r="O381" s="389"/>
      <c r="P381" s="389"/>
    </row>
    <row r="382" spans="5:16">
      <c r="E382" s="389"/>
      <c r="F382" s="389"/>
      <c r="G382" s="389"/>
      <c r="H382" s="389"/>
      <c r="I382" s="389"/>
      <c r="J382" s="389"/>
      <c r="K382" s="389"/>
      <c r="L382" s="389"/>
      <c r="M382" s="389"/>
      <c r="N382" s="389"/>
      <c r="O382" s="389"/>
      <c r="P382" s="389"/>
    </row>
    <row r="383" spans="5:16">
      <c r="E383" s="389"/>
      <c r="F383" s="389"/>
      <c r="G383" s="389"/>
      <c r="H383" s="389"/>
      <c r="I383" s="389"/>
      <c r="J383" s="389"/>
      <c r="K383" s="389"/>
      <c r="L383" s="389"/>
      <c r="M383" s="389"/>
      <c r="N383" s="389"/>
      <c r="O383" s="389"/>
      <c r="P383" s="389"/>
    </row>
    <row r="384" spans="5:16">
      <c r="E384" s="389"/>
      <c r="F384" s="389"/>
      <c r="G384" s="389"/>
      <c r="H384" s="389"/>
      <c r="I384" s="389"/>
      <c r="J384" s="389"/>
      <c r="K384" s="389"/>
      <c r="L384" s="389"/>
      <c r="M384" s="389"/>
      <c r="N384" s="389"/>
      <c r="O384" s="389"/>
      <c r="P384" s="389"/>
    </row>
    <row r="385" spans="5:16">
      <c r="E385" s="389"/>
      <c r="F385" s="389"/>
      <c r="G385" s="389"/>
      <c r="H385" s="389"/>
      <c r="I385" s="389"/>
      <c r="J385" s="389"/>
      <c r="K385" s="389"/>
      <c r="L385" s="389"/>
      <c r="M385" s="389"/>
      <c r="N385" s="389"/>
      <c r="O385" s="389"/>
      <c r="P385" s="389"/>
    </row>
    <row r="386" spans="5:16">
      <c r="E386" s="389"/>
      <c r="F386" s="389"/>
      <c r="G386" s="389"/>
      <c r="H386" s="389"/>
      <c r="I386" s="389"/>
      <c r="J386" s="389"/>
      <c r="K386" s="389"/>
      <c r="L386" s="389"/>
      <c r="M386" s="389"/>
      <c r="N386" s="389"/>
      <c r="O386" s="389"/>
      <c r="P386" s="389"/>
    </row>
    <row r="387" spans="5:16">
      <c r="E387" s="389"/>
      <c r="F387" s="389"/>
      <c r="G387" s="389"/>
      <c r="H387" s="389"/>
      <c r="I387" s="389"/>
      <c r="J387" s="389"/>
      <c r="K387" s="389"/>
      <c r="L387" s="389"/>
      <c r="M387" s="389"/>
      <c r="N387" s="389"/>
      <c r="O387" s="389"/>
      <c r="P387" s="389"/>
    </row>
    <row r="388" spans="5:16">
      <c r="E388" s="389"/>
      <c r="F388" s="389"/>
      <c r="G388" s="389"/>
      <c r="H388" s="389"/>
      <c r="I388" s="389"/>
      <c r="J388" s="389"/>
      <c r="K388" s="389"/>
      <c r="L388" s="389"/>
      <c r="M388" s="389"/>
      <c r="N388" s="389"/>
      <c r="O388" s="389"/>
      <c r="P388" s="389"/>
    </row>
    <row r="389" spans="5:16">
      <c r="E389" s="389"/>
      <c r="F389" s="389"/>
      <c r="G389" s="389"/>
      <c r="H389" s="389"/>
      <c r="I389" s="389"/>
      <c r="J389" s="389"/>
      <c r="K389" s="389"/>
      <c r="L389" s="389"/>
      <c r="M389" s="389"/>
      <c r="N389" s="389"/>
      <c r="O389" s="389"/>
      <c r="P389" s="389"/>
    </row>
    <row r="390" spans="5:16">
      <c r="E390" s="389"/>
      <c r="F390" s="389"/>
      <c r="G390" s="389"/>
      <c r="H390" s="389"/>
      <c r="I390" s="389"/>
      <c r="J390" s="389"/>
      <c r="K390" s="389"/>
      <c r="L390" s="389"/>
      <c r="M390" s="389"/>
      <c r="N390" s="389"/>
      <c r="O390" s="389"/>
      <c r="P390" s="389"/>
    </row>
    <row r="391" spans="5:16">
      <c r="E391" s="389"/>
      <c r="F391" s="389"/>
      <c r="G391" s="389"/>
      <c r="H391" s="389"/>
      <c r="I391" s="389"/>
      <c r="J391" s="389"/>
      <c r="K391" s="389"/>
      <c r="L391" s="389"/>
      <c r="M391" s="389"/>
      <c r="N391" s="389"/>
      <c r="O391" s="389"/>
      <c r="P391" s="389"/>
    </row>
    <row r="392" spans="5:16">
      <c r="E392" s="389"/>
      <c r="F392" s="389"/>
      <c r="G392" s="389"/>
      <c r="H392" s="389"/>
      <c r="I392" s="389"/>
      <c r="J392" s="389"/>
      <c r="K392" s="389"/>
      <c r="L392" s="389"/>
      <c r="M392" s="389"/>
      <c r="N392" s="389"/>
      <c r="O392" s="389"/>
      <c r="P392" s="389"/>
    </row>
    <row r="393" spans="5:16">
      <c r="E393" s="389"/>
      <c r="F393" s="389"/>
      <c r="G393" s="389"/>
      <c r="H393" s="389"/>
      <c r="I393" s="389"/>
      <c r="J393" s="389"/>
      <c r="K393" s="389"/>
      <c r="L393" s="389"/>
      <c r="M393" s="389"/>
      <c r="N393" s="389"/>
      <c r="O393" s="389"/>
      <c r="P393" s="389"/>
    </row>
    <row r="394" spans="5:16">
      <c r="E394" s="389"/>
      <c r="F394" s="389"/>
      <c r="G394" s="389"/>
      <c r="H394" s="389"/>
      <c r="I394" s="389"/>
      <c r="J394" s="389"/>
      <c r="K394" s="389"/>
      <c r="L394" s="389"/>
      <c r="M394" s="389"/>
      <c r="N394" s="389"/>
      <c r="O394" s="389"/>
      <c r="P394" s="389"/>
    </row>
    <row r="395" spans="5:16">
      <c r="E395" s="389"/>
      <c r="F395" s="389"/>
      <c r="G395" s="389"/>
      <c r="H395" s="389"/>
      <c r="I395" s="389"/>
      <c r="J395" s="389"/>
      <c r="K395" s="389"/>
      <c r="L395" s="389"/>
      <c r="M395" s="389"/>
      <c r="N395" s="389"/>
      <c r="O395" s="389"/>
      <c r="P395" s="389"/>
    </row>
    <row r="396" spans="5:16">
      <c r="E396" s="389"/>
      <c r="F396" s="389"/>
      <c r="G396" s="389"/>
      <c r="H396" s="389"/>
      <c r="I396" s="389"/>
      <c r="J396" s="389"/>
      <c r="K396" s="389"/>
      <c r="L396" s="389"/>
      <c r="M396" s="389"/>
      <c r="N396" s="389"/>
      <c r="O396" s="389"/>
      <c r="P396" s="389"/>
    </row>
    <row r="397" spans="5:16">
      <c r="E397" s="389"/>
      <c r="F397" s="389"/>
      <c r="G397" s="389"/>
      <c r="H397" s="389"/>
      <c r="I397" s="389"/>
      <c r="J397" s="389"/>
      <c r="K397" s="389"/>
      <c r="L397" s="389"/>
      <c r="M397" s="389"/>
      <c r="N397" s="389"/>
      <c r="O397" s="389"/>
      <c r="P397" s="389"/>
    </row>
    <row r="398" spans="5:16">
      <c r="E398" s="389"/>
      <c r="F398" s="389"/>
      <c r="G398" s="389"/>
      <c r="H398" s="389"/>
      <c r="I398" s="389"/>
      <c r="J398" s="389"/>
      <c r="K398" s="389"/>
      <c r="L398" s="389"/>
      <c r="M398" s="389"/>
      <c r="N398" s="389"/>
      <c r="O398" s="389"/>
      <c r="P398" s="389"/>
    </row>
    <row r="399" spans="5:16">
      <c r="E399" s="389"/>
      <c r="F399" s="389"/>
      <c r="G399" s="389"/>
      <c r="H399" s="389"/>
      <c r="I399" s="389"/>
      <c r="J399" s="389"/>
      <c r="K399" s="389"/>
      <c r="L399" s="389"/>
      <c r="M399" s="389"/>
      <c r="N399" s="389"/>
      <c r="O399" s="389"/>
      <c r="P399" s="389"/>
    </row>
    <row r="400" spans="5:16">
      <c r="E400" s="389"/>
      <c r="F400" s="389"/>
      <c r="G400" s="389"/>
      <c r="H400" s="389"/>
      <c r="I400" s="389"/>
      <c r="J400" s="389"/>
      <c r="K400" s="389"/>
      <c r="L400" s="389"/>
      <c r="M400" s="389"/>
      <c r="N400" s="389"/>
      <c r="O400" s="389"/>
      <c r="P400" s="389"/>
    </row>
    <row r="401" spans="5:16">
      <c r="E401" s="389"/>
      <c r="F401" s="389"/>
      <c r="G401" s="389"/>
      <c r="H401" s="389"/>
      <c r="I401" s="389"/>
      <c r="J401" s="389"/>
      <c r="K401" s="389"/>
      <c r="L401" s="389"/>
      <c r="M401" s="389"/>
      <c r="N401" s="389"/>
      <c r="O401" s="389"/>
      <c r="P401" s="389"/>
    </row>
    <row r="402" spans="5:16">
      <c r="E402" s="389"/>
      <c r="F402" s="389"/>
      <c r="G402" s="389"/>
      <c r="H402" s="389"/>
      <c r="I402" s="389"/>
      <c r="J402" s="389"/>
      <c r="K402" s="389"/>
      <c r="L402" s="389"/>
      <c r="M402" s="389"/>
      <c r="N402" s="389"/>
      <c r="O402" s="389"/>
      <c r="P402" s="389"/>
    </row>
    <row r="403" spans="5:16">
      <c r="E403" s="389"/>
      <c r="F403" s="389"/>
      <c r="G403" s="389"/>
      <c r="H403" s="389"/>
      <c r="I403" s="389"/>
      <c r="J403" s="389"/>
      <c r="K403" s="389"/>
      <c r="L403" s="389"/>
      <c r="M403" s="389"/>
      <c r="N403" s="389"/>
      <c r="O403" s="389"/>
      <c r="P403" s="389"/>
    </row>
    <row r="404" spans="5:16">
      <c r="E404" s="389"/>
      <c r="F404" s="389"/>
      <c r="G404" s="389"/>
      <c r="H404" s="389"/>
      <c r="I404" s="389"/>
      <c r="J404" s="389"/>
      <c r="K404" s="389"/>
      <c r="L404" s="389"/>
      <c r="M404" s="389"/>
      <c r="N404" s="389"/>
      <c r="O404" s="389"/>
      <c r="P404" s="389"/>
    </row>
    <row r="405" spans="5:16">
      <c r="E405" s="389"/>
      <c r="F405" s="389"/>
      <c r="G405" s="389"/>
      <c r="H405" s="389"/>
      <c r="I405" s="389"/>
      <c r="J405" s="389"/>
      <c r="K405" s="389"/>
      <c r="L405" s="389"/>
      <c r="M405" s="389"/>
      <c r="N405" s="389"/>
      <c r="O405" s="389"/>
      <c r="P405" s="389"/>
    </row>
    <row r="406" spans="5:16">
      <c r="E406" s="389"/>
      <c r="F406" s="389"/>
      <c r="G406" s="389"/>
      <c r="H406" s="389"/>
      <c r="I406" s="389"/>
      <c r="J406" s="389"/>
      <c r="K406" s="389"/>
      <c r="L406" s="389"/>
      <c r="M406" s="389"/>
      <c r="N406" s="389"/>
      <c r="O406" s="389"/>
      <c r="P406" s="389"/>
    </row>
    <row r="407" spans="5:16">
      <c r="E407" s="389"/>
      <c r="F407" s="389"/>
      <c r="G407" s="389"/>
      <c r="H407" s="389"/>
      <c r="I407" s="389"/>
      <c r="J407" s="389"/>
      <c r="K407" s="389"/>
      <c r="L407" s="389"/>
      <c r="M407" s="389"/>
      <c r="N407" s="389"/>
      <c r="O407" s="389"/>
      <c r="P407" s="389"/>
    </row>
    <row r="408" spans="5:16">
      <c r="E408" s="389"/>
      <c r="F408" s="389"/>
      <c r="G408" s="389"/>
      <c r="H408" s="389"/>
      <c r="I408" s="389"/>
      <c r="J408" s="389"/>
      <c r="K408" s="389"/>
      <c r="L408" s="389"/>
      <c r="M408" s="389"/>
      <c r="N408" s="389"/>
      <c r="O408" s="389"/>
      <c r="P408" s="389"/>
    </row>
    <row r="409" spans="5:16">
      <c r="E409" s="389"/>
      <c r="F409" s="389"/>
      <c r="G409" s="389"/>
      <c r="H409" s="389"/>
      <c r="I409" s="389"/>
      <c r="J409" s="389"/>
      <c r="K409" s="389"/>
      <c r="L409" s="389"/>
      <c r="M409" s="389"/>
      <c r="N409" s="389"/>
      <c r="O409" s="389"/>
      <c r="P409" s="389"/>
    </row>
    <row r="410" spans="5:16">
      <c r="E410" s="389"/>
      <c r="F410" s="389"/>
      <c r="G410" s="389"/>
      <c r="H410" s="389"/>
      <c r="I410" s="389"/>
      <c r="J410" s="389"/>
      <c r="K410" s="389"/>
      <c r="L410" s="389"/>
      <c r="M410" s="389"/>
      <c r="N410" s="389"/>
      <c r="O410" s="389"/>
      <c r="P410" s="389"/>
    </row>
    <row r="411" spans="5:16">
      <c r="E411" s="389"/>
      <c r="F411" s="389"/>
      <c r="G411" s="389"/>
      <c r="H411" s="389"/>
      <c r="I411" s="389"/>
      <c r="J411" s="389"/>
      <c r="K411" s="389"/>
      <c r="L411" s="389"/>
      <c r="M411" s="389"/>
      <c r="N411" s="389"/>
      <c r="O411" s="389"/>
      <c r="P411" s="389"/>
    </row>
    <row r="412" spans="5:16">
      <c r="E412" s="389"/>
      <c r="F412" s="389"/>
      <c r="G412" s="389"/>
      <c r="H412" s="389"/>
      <c r="I412" s="389"/>
      <c r="J412" s="389"/>
      <c r="K412" s="389"/>
      <c r="L412" s="389"/>
      <c r="M412" s="389"/>
      <c r="N412" s="389"/>
      <c r="O412" s="389"/>
      <c r="P412" s="389"/>
    </row>
    <row r="413" spans="5:16">
      <c r="E413" s="389"/>
      <c r="F413" s="389"/>
      <c r="G413" s="389"/>
      <c r="H413" s="389"/>
      <c r="I413" s="389"/>
      <c r="J413" s="389"/>
      <c r="K413" s="389"/>
      <c r="L413" s="389"/>
      <c r="M413" s="389"/>
      <c r="N413" s="389"/>
      <c r="O413" s="389"/>
      <c r="P413" s="389"/>
    </row>
    <row r="414" spans="5:16">
      <c r="E414" s="389"/>
      <c r="F414" s="389"/>
      <c r="G414" s="389"/>
      <c r="H414" s="389"/>
      <c r="I414" s="389"/>
      <c r="J414" s="389"/>
      <c r="K414" s="389"/>
      <c r="L414" s="389"/>
      <c r="M414" s="389"/>
      <c r="N414" s="389"/>
      <c r="O414" s="389"/>
      <c r="P414" s="389"/>
    </row>
    <row r="415" spans="5:16">
      <c r="E415" s="389"/>
      <c r="F415" s="389"/>
      <c r="G415" s="389"/>
      <c r="H415" s="389"/>
      <c r="I415" s="389"/>
      <c r="J415" s="389"/>
      <c r="K415" s="389"/>
      <c r="L415" s="389"/>
      <c r="M415" s="389"/>
      <c r="N415" s="389"/>
      <c r="O415" s="389"/>
      <c r="P415" s="389"/>
    </row>
    <row r="416" spans="5:16">
      <c r="E416" s="389"/>
      <c r="F416" s="389"/>
      <c r="G416" s="389"/>
      <c r="H416" s="389"/>
      <c r="I416" s="389"/>
      <c r="J416" s="389"/>
      <c r="K416" s="389"/>
      <c r="L416" s="389"/>
      <c r="M416" s="389"/>
      <c r="N416" s="389"/>
      <c r="O416" s="389"/>
      <c r="P416" s="389"/>
    </row>
    <row r="417" spans="5:16">
      <c r="E417" s="389"/>
      <c r="F417" s="389"/>
      <c r="G417" s="389"/>
      <c r="H417" s="389"/>
      <c r="I417" s="389"/>
      <c r="J417" s="389"/>
      <c r="K417" s="389"/>
      <c r="L417" s="389"/>
      <c r="M417" s="389"/>
      <c r="N417" s="389"/>
      <c r="O417" s="389"/>
      <c r="P417" s="389"/>
    </row>
    <row r="418" spans="5:16">
      <c r="E418" s="389"/>
      <c r="F418" s="389"/>
      <c r="G418" s="389"/>
      <c r="H418" s="389"/>
      <c r="I418" s="389"/>
      <c r="J418" s="389"/>
      <c r="K418" s="389"/>
      <c r="L418" s="389"/>
      <c r="M418" s="389"/>
      <c r="N418" s="389"/>
      <c r="O418" s="389"/>
      <c r="P418" s="389"/>
    </row>
    <row r="419" spans="5:16">
      <c r="E419" s="389"/>
      <c r="F419" s="389"/>
      <c r="G419" s="389"/>
      <c r="H419" s="389"/>
      <c r="I419" s="389"/>
      <c r="J419" s="389"/>
      <c r="K419" s="389"/>
      <c r="L419" s="389"/>
      <c r="M419" s="389"/>
      <c r="N419" s="389"/>
      <c r="O419" s="389"/>
      <c r="P419" s="389"/>
    </row>
    <row r="420" spans="5:16">
      <c r="E420" s="389"/>
      <c r="F420" s="389"/>
      <c r="G420" s="389"/>
      <c r="H420" s="389"/>
      <c r="I420" s="389"/>
      <c r="J420" s="389"/>
      <c r="K420" s="389"/>
      <c r="L420" s="389"/>
      <c r="M420" s="389"/>
      <c r="N420" s="389"/>
      <c r="O420" s="389"/>
      <c r="P420" s="389"/>
    </row>
    <row r="421" spans="5:16">
      <c r="E421" s="389"/>
      <c r="F421" s="389"/>
      <c r="G421" s="389"/>
      <c r="H421" s="389"/>
      <c r="I421" s="389"/>
      <c r="J421" s="389"/>
      <c r="K421" s="389"/>
      <c r="L421" s="389"/>
      <c r="M421" s="389"/>
      <c r="N421" s="389"/>
      <c r="O421" s="389"/>
      <c r="P421" s="389"/>
    </row>
    <row r="422" spans="5:16">
      <c r="E422" s="389"/>
      <c r="F422" s="389"/>
      <c r="G422" s="389"/>
      <c r="H422" s="389"/>
      <c r="I422" s="389"/>
      <c r="J422" s="389"/>
      <c r="K422" s="389"/>
      <c r="L422" s="389"/>
      <c r="M422" s="389"/>
      <c r="N422" s="389"/>
      <c r="O422" s="389"/>
      <c r="P422" s="389"/>
    </row>
    <row r="423" spans="5:16">
      <c r="E423" s="389"/>
      <c r="F423" s="389"/>
      <c r="G423" s="389"/>
      <c r="H423" s="389"/>
      <c r="I423" s="389"/>
      <c r="J423" s="389"/>
      <c r="K423" s="389"/>
      <c r="L423" s="389"/>
      <c r="M423" s="389"/>
      <c r="N423" s="389"/>
      <c r="O423" s="389"/>
      <c r="P423" s="389"/>
    </row>
    <row r="424" spans="5:16">
      <c r="E424" s="389"/>
      <c r="F424" s="389"/>
      <c r="G424" s="389"/>
      <c r="H424" s="389"/>
      <c r="I424" s="389"/>
      <c r="J424" s="389"/>
      <c r="K424" s="389"/>
      <c r="L424" s="389"/>
      <c r="M424" s="389"/>
      <c r="N424" s="389"/>
      <c r="O424" s="389"/>
      <c r="P424" s="389"/>
    </row>
    <row r="425" spans="5:16">
      <c r="E425" s="389"/>
      <c r="F425" s="389"/>
      <c r="G425" s="389"/>
      <c r="H425" s="389"/>
      <c r="I425" s="389"/>
      <c r="J425" s="389"/>
      <c r="K425" s="389"/>
      <c r="L425" s="389"/>
      <c r="M425" s="389"/>
      <c r="N425" s="389"/>
      <c r="O425" s="389"/>
      <c r="P425" s="389"/>
    </row>
    <row r="426" spans="5:16">
      <c r="E426" s="389"/>
      <c r="F426" s="389"/>
      <c r="G426" s="389"/>
      <c r="H426" s="389"/>
      <c r="I426" s="389"/>
      <c r="J426" s="389"/>
      <c r="K426" s="389"/>
      <c r="L426" s="389"/>
      <c r="M426" s="389"/>
      <c r="N426" s="389"/>
      <c r="O426" s="389"/>
      <c r="P426" s="389"/>
    </row>
    <row r="427" spans="5:16">
      <c r="E427" s="389"/>
      <c r="F427" s="389"/>
      <c r="G427" s="389"/>
      <c r="H427" s="389"/>
      <c r="I427" s="389"/>
      <c r="J427" s="389"/>
      <c r="K427" s="389"/>
      <c r="L427" s="389"/>
      <c r="M427" s="389"/>
      <c r="N427" s="389"/>
      <c r="O427" s="389"/>
      <c r="P427" s="389"/>
    </row>
    <row r="428" spans="5:16">
      <c r="E428" s="389"/>
      <c r="F428" s="389"/>
      <c r="G428" s="389"/>
      <c r="H428" s="389"/>
      <c r="I428" s="389"/>
      <c r="J428" s="389"/>
      <c r="K428" s="389"/>
      <c r="L428" s="389"/>
      <c r="M428" s="389"/>
      <c r="N428" s="389"/>
      <c r="O428" s="389"/>
      <c r="P428" s="389"/>
    </row>
    <row r="429" spans="5:16">
      <c r="E429" s="389"/>
      <c r="F429" s="389"/>
      <c r="G429" s="389"/>
      <c r="H429" s="389"/>
      <c r="I429" s="389"/>
      <c r="J429" s="389"/>
      <c r="K429" s="389"/>
      <c r="L429" s="389"/>
      <c r="M429" s="389"/>
      <c r="N429" s="389"/>
      <c r="O429" s="389"/>
      <c r="P429" s="389"/>
    </row>
    <row r="430" spans="5:16">
      <c r="E430" s="389"/>
      <c r="F430" s="389"/>
      <c r="G430" s="389"/>
      <c r="H430" s="389"/>
      <c r="I430" s="389"/>
      <c r="J430" s="389"/>
      <c r="K430" s="389"/>
      <c r="L430" s="389"/>
      <c r="M430" s="389"/>
      <c r="N430" s="389"/>
      <c r="O430" s="389"/>
      <c r="P430" s="389"/>
    </row>
    <row r="431" spans="5:16">
      <c r="E431" s="389"/>
      <c r="F431" s="389"/>
      <c r="G431" s="389"/>
      <c r="H431" s="389"/>
      <c r="I431" s="389"/>
      <c r="J431" s="389"/>
      <c r="K431" s="389"/>
      <c r="L431" s="389"/>
      <c r="M431" s="389"/>
      <c r="N431" s="389"/>
      <c r="O431" s="389"/>
      <c r="P431" s="389"/>
    </row>
    <row r="432" spans="5:16">
      <c r="E432" s="389"/>
      <c r="F432" s="389"/>
      <c r="G432" s="389"/>
      <c r="H432" s="389"/>
      <c r="I432" s="389"/>
      <c r="J432" s="389"/>
      <c r="K432" s="389"/>
      <c r="L432" s="389"/>
      <c r="M432" s="389"/>
      <c r="N432" s="389"/>
      <c r="O432" s="389"/>
      <c r="P432" s="389"/>
    </row>
    <row r="433" spans="5:16">
      <c r="E433" s="389"/>
      <c r="F433" s="389"/>
      <c r="G433" s="389"/>
      <c r="H433" s="389"/>
      <c r="I433" s="389"/>
      <c r="J433" s="389"/>
      <c r="K433" s="389"/>
      <c r="L433" s="389"/>
      <c r="M433" s="389"/>
      <c r="N433" s="389"/>
      <c r="O433" s="389"/>
      <c r="P433" s="389"/>
    </row>
    <row r="434" spans="5:16">
      <c r="E434" s="389"/>
      <c r="F434" s="389"/>
      <c r="G434" s="389"/>
      <c r="H434" s="389"/>
      <c r="I434" s="389"/>
      <c r="J434" s="389"/>
      <c r="K434" s="389"/>
      <c r="L434" s="389"/>
      <c r="M434" s="389"/>
      <c r="N434" s="389"/>
      <c r="O434" s="389"/>
      <c r="P434" s="389"/>
    </row>
    <row r="435" spans="5:16">
      <c r="E435" s="389"/>
      <c r="F435" s="389"/>
      <c r="G435" s="389"/>
      <c r="H435" s="389"/>
      <c r="I435" s="389"/>
      <c r="J435" s="389"/>
      <c r="K435" s="389"/>
      <c r="L435" s="389"/>
      <c r="M435" s="389"/>
      <c r="N435" s="389"/>
      <c r="O435" s="389"/>
      <c r="P435" s="389"/>
    </row>
    <row r="436" spans="5:16">
      <c r="E436" s="389"/>
      <c r="F436" s="389"/>
      <c r="G436" s="389"/>
      <c r="H436" s="389"/>
      <c r="I436" s="389"/>
      <c r="J436" s="389"/>
      <c r="K436" s="389"/>
      <c r="L436" s="389"/>
      <c r="M436" s="389"/>
      <c r="N436" s="389"/>
      <c r="O436" s="389"/>
      <c r="P436" s="389"/>
    </row>
    <row r="437" spans="5:16">
      <c r="E437" s="389"/>
      <c r="F437" s="389"/>
      <c r="G437" s="389"/>
      <c r="H437" s="389"/>
      <c r="I437" s="389"/>
      <c r="J437" s="389"/>
      <c r="K437" s="389"/>
      <c r="L437" s="389"/>
      <c r="M437" s="389"/>
      <c r="N437" s="389"/>
      <c r="O437" s="389"/>
      <c r="P437" s="389"/>
    </row>
    <row r="438" spans="5:16">
      <c r="E438" s="389"/>
      <c r="F438" s="389"/>
      <c r="G438" s="389"/>
      <c r="H438" s="389"/>
      <c r="I438" s="389"/>
      <c r="J438" s="389"/>
      <c r="K438" s="389"/>
      <c r="L438" s="389"/>
      <c r="M438" s="389"/>
      <c r="N438" s="389"/>
      <c r="O438" s="389"/>
      <c r="P438" s="389"/>
    </row>
    <row r="439" spans="5:16">
      <c r="E439" s="389"/>
      <c r="F439" s="389"/>
      <c r="G439" s="389"/>
      <c r="H439" s="389"/>
      <c r="I439" s="389"/>
      <c r="J439" s="389"/>
      <c r="K439" s="389"/>
      <c r="L439" s="389"/>
      <c r="M439" s="389"/>
      <c r="N439" s="389"/>
      <c r="O439" s="389"/>
      <c r="P439" s="389"/>
    </row>
    <row r="440" spans="5:16">
      <c r="E440" s="389"/>
      <c r="F440" s="389"/>
      <c r="G440" s="389"/>
      <c r="H440" s="389"/>
      <c r="I440" s="389"/>
      <c r="J440" s="389"/>
      <c r="K440" s="389"/>
      <c r="L440" s="389"/>
      <c r="M440" s="389"/>
      <c r="N440" s="389"/>
      <c r="O440" s="389"/>
      <c r="P440" s="389"/>
    </row>
    <row r="441" spans="5:16">
      <c r="E441" s="389"/>
      <c r="F441" s="389"/>
      <c r="G441" s="389"/>
      <c r="H441" s="389"/>
      <c r="I441" s="389"/>
      <c r="J441" s="389"/>
      <c r="K441" s="389"/>
      <c r="L441" s="389"/>
      <c r="M441" s="389"/>
      <c r="N441" s="389"/>
      <c r="O441" s="389"/>
      <c r="P441" s="389"/>
    </row>
    <row r="442" spans="5:16">
      <c r="E442" s="389"/>
      <c r="F442" s="389"/>
      <c r="G442" s="389"/>
      <c r="H442" s="389"/>
      <c r="I442" s="389"/>
      <c r="J442" s="389"/>
      <c r="K442" s="389"/>
      <c r="L442" s="389"/>
      <c r="M442" s="389"/>
      <c r="N442" s="389"/>
      <c r="O442" s="389"/>
      <c r="P442" s="389"/>
    </row>
    <row r="443" spans="5:16">
      <c r="E443" s="389"/>
      <c r="F443" s="389"/>
      <c r="G443" s="389"/>
      <c r="H443" s="389"/>
      <c r="I443" s="389"/>
      <c r="J443" s="389"/>
      <c r="K443" s="389"/>
      <c r="L443" s="389"/>
      <c r="M443" s="389"/>
      <c r="N443" s="389"/>
      <c r="O443" s="389"/>
      <c r="P443" s="389"/>
    </row>
    <row r="444" spans="5:16">
      <c r="E444" s="389"/>
      <c r="F444" s="389"/>
      <c r="G444" s="389"/>
      <c r="H444" s="389"/>
      <c r="I444" s="389"/>
      <c r="J444" s="389"/>
      <c r="K444" s="389"/>
      <c r="L444" s="389"/>
      <c r="M444" s="389"/>
      <c r="N444" s="389"/>
      <c r="O444" s="389"/>
      <c r="P444" s="389"/>
    </row>
    <row r="445" spans="5:16">
      <c r="E445" s="389"/>
      <c r="F445" s="389"/>
      <c r="G445" s="389"/>
      <c r="H445" s="389"/>
      <c r="I445" s="389"/>
      <c r="J445" s="389"/>
      <c r="K445" s="389"/>
      <c r="L445" s="389"/>
      <c r="M445" s="389"/>
      <c r="N445" s="389"/>
      <c r="O445" s="389"/>
      <c r="P445" s="389"/>
    </row>
    <row r="446" spans="5:16">
      <c r="E446" s="389"/>
      <c r="F446" s="389"/>
      <c r="G446" s="389"/>
      <c r="H446" s="389"/>
      <c r="I446" s="389"/>
      <c r="J446" s="389"/>
      <c r="K446" s="389"/>
      <c r="L446" s="389"/>
      <c r="M446" s="389"/>
      <c r="N446" s="389"/>
      <c r="O446" s="389"/>
      <c r="P446" s="389"/>
    </row>
    <row r="447" spans="5:16">
      <c r="E447" s="389"/>
      <c r="F447" s="389"/>
      <c r="G447" s="389"/>
      <c r="H447" s="389"/>
      <c r="I447" s="389"/>
      <c r="J447" s="389"/>
      <c r="K447" s="389"/>
      <c r="L447" s="389"/>
      <c r="M447" s="389"/>
      <c r="N447" s="389"/>
      <c r="O447" s="389"/>
      <c r="P447" s="389"/>
    </row>
    <row r="448" spans="5:16">
      <c r="E448" s="389"/>
      <c r="F448" s="389"/>
      <c r="G448" s="389"/>
      <c r="H448" s="389"/>
      <c r="I448" s="389"/>
      <c r="J448" s="389"/>
      <c r="K448" s="389"/>
      <c r="L448" s="389"/>
      <c r="M448" s="389"/>
      <c r="N448" s="389"/>
      <c r="O448" s="389"/>
      <c r="P448" s="389"/>
    </row>
    <row r="449" spans="5:16">
      <c r="E449" s="389"/>
      <c r="F449" s="389"/>
      <c r="G449" s="389"/>
      <c r="H449" s="389"/>
      <c r="I449" s="389"/>
      <c r="J449" s="389"/>
      <c r="K449" s="389"/>
      <c r="L449" s="389"/>
      <c r="M449" s="389"/>
      <c r="N449" s="389"/>
      <c r="O449" s="389"/>
      <c r="P449" s="389"/>
    </row>
    <row r="450" spans="5:16">
      <c r="E450" s="389"/>
      <c r="F450" s="389"/>
      <c r="G450" s="389"/>
      <c r="H450" s="389"/>
      <c r="I450" s="389"/>
      <c r="J450" s="389"/>
      <c r="K450" s="389"/>
      <c r="L450" s="389"/>
      <c r="M450" s="389"/>
      <c r="N450" s="389"/>
      <c r="O450" s="389"/>
      <c r="P450" s="389"/>
    </row>
    <row r="451" spans="5:16">
      <c r="E451" s="389"/>
      <c r="F451" s="389"/>
      <c r="G451" s="389"/>
      <c r="H451" s="389"/>
      <c r="I451" s="389"/>
      <c r="J451" s="389"/>
      <c r="K451" s="389"/>
      <c r="L451" s="389"/>
      <c r="M451" s="389"/>
      <c r="N451" s="389"/>
      <c r="O451" s="389"/>
      <c r="P451" s="389"/>
    </row>
    <row r="452" spans="5:16">
      <c r="E452" s="389"/>
      <c r="F452" s="389"/>
      <c r="G452" s="389"/>
      <c r="H452" s="389"/>
      <c r="I452" s="389"/>
      <c r="J452" s="389"/>
      <c r="K452" s="389"/>
      <c r="L452" s="389"/>
      <c r="M452" s="389"/>
      <c r="N452" s="389"/>
      <c r="O452" s="389"/>
      <c r="P452" s="389"/>
    </row>
    <row r="453" spans="5:16">
      <c r="E453" s="389"/>
      <c r="F453" s="389"/>
      <c r="G453" s="389"/>
      <c r="H453" s="389"/>
      <c r="I453" s="389"/>
      <c r="J453" s="389"/>
      <c r="K453" s="389"/>
      <c r="L453" s="389"/>
      <c r="M453" s="389"/>
      <c r="N453" s="389"/>
      <c r="O453" s="389"/>
      <c r="P453" s="389"/>
    </row>
    <row r="454" spans="5:16">
      <c r="E454" s="389"/>
      <c r="F454" s="389"/>
      <c r="G454" s="389"/>
      <c r="H454" s="389"/>
      <c r="I454" s="389"/>
      <c r="J454" s="389"/>
      <c r="K454" s="389"/>
      <c r="L454" s="389"/>
      <c r="M454" s="389"/>
      <c r="N454" s="389"/>
      <c r="O454" s="389"/>
      <c r="P454" s="389"/>
    </row>
    <row r="455" spans="5:16">
      <c r="E455" s="389"/>
      <c r="F455" s="389"/>
      <c r="G455" s="389"/>
      <c r="H455" s="389"/>
      <c r="I455" s="389"/>
      <c r="J455" s="389"/>
      <c r="K455" s="389"/>
      <c r="L455" s="389"/>
      <c r="M455" s="389"/>
      <c r="N455" s="389"/>
      <c r="O455" s="389"/>
      <c r="P455" s="389"/>
    </row>
    <row r="456" spans="5:16">
      <c r="E456" s="389"/>
      <c r="F456" s="389"/>
      <c r="G456" s="389"/>
      <c r="H456" s="389"/>
      <c r="I456" s="389"/>
      <c r="J456" s="389"/>
      <c r="K456" s="389"/>
      <c r="L456" s="389"/>
      <c r="M456" s="389"/>
      <c r="N456" s="389"/>
      <c r="O456" s="389"/>
      <c r="P456" s="389"/>
    </row>
    <row r="457" spans="5:16">
      <c r="E457" s="389"/>
      <c r="F457" s="389"/>
      <c r="G457" s="389"/>
      <c r="H457" s="389"/>
      <c r="I457" s="389"/>
      <c r="J457" s="389"/>
      <c r="K457" s="389"/>
      <c r="L457" s="389"/>
      <c r="M457" s="389"/>
      <c r="N457" s="389"/>
      <c r="O457" s="389"/>
      <c r="P457" s="389"/>
    </row>
    <row r="458" spans="5:16">
      <c r="E458" s="389"/>
      <c r="F458" s="389"/>
      <c r="G458" s="389"/>
      <c r="H458" s="389"/>
      <c r="I458" s="389"/>
      <c r="J458" s="389"/>
      <c r="K458" s="389"/>
      <c r="L458" s="389"/>
      <c r="M458" s="389"/>
      <c r="N458" s="389"/>
      <c r="O458" s="389"/>
      <c r="P458" s="389"/>
    </row>
    <row r="459" spans="5:16">
      <c r="E459" s="389"/>
      <c r="F459" s="389"/>
      <c r="G459" s="389"/>
      <c r="H459" s="389"/>
      <c r="I459" s="389"/>
      <c r="J459" s="389"/>
      <c r="K459" s="389"/>
      <c r="L459" s="389"/>
      <c r="M459" s="389"/>
      <c r="N459" s="389"/>
      <c r="O459" s="389"/>
      <c r="P459" s="389"/>
    </row>
    <row r="460" spans="5:16">
      <c r="E460" s="389"/>
      <c r="F460" s="389"/>
      <c r="G460" s="389"/>
      <c r="H460" s="389"/>
      <c r="I460" s="389"/>
      <c r="J460" s="389"/>
      <c r="K460" s="389"/>
      <c r="L460" s="389"/>
      <c r="M460" s="389"/>
      <c r="N460" s="389"/>
      <c r="O460" s="389"/>
      <c r="P460" s="389"/>
    </row>
    <row r="461" spans="5:16">
      <c r="E461" s="389"/>
      <c r="F461" s="389"/>
      <c r="G461" s="389"/>
      <c r="H461" s="389"/>
      <c r="I461" s="389"/>
      <c r="J461" s="389"/>
      <c r="K461" s="389"/>
      <c r="L461" s="389"/>
      <c r="M461" s="389"/>
      <c r="N461" s="389"/>
      <c r="O461" s="389"/>
      <c r="P461" s="389"/>
    </row>
    <row r="462" spans="5:16">
      <c r="E462" s="389"/>
      <c r="F462" s="389"/>
      <c r="G462" s="389"/>
      <c r="H462" s="389"/>
      <c r="I462" s="389"/>
      <c r="J462" s="389"/>
      <c r="K462" s="389"/>
      <c r="L462" s="389"/>
      <c r="M462" s="389"/>
      <c r="N462" s="389"/>
      <c r="O462" s="389"/>
      <c r="P462" s="389"/>
    </row>
    <row r="463" spans="5:16">
      <c r="E463" s="389"/>
      <c r="F463" s="389"/>
      <c r="G463" s="389"/>
      <c r="H463" s="389"/>
      <c r="I463" s="389"/>
      <c r="J463" s="389"/>
      <c r="K463" s="389"/>
      <c r="L463" s="389"/>
      <c r="M463" s="389"/>
      <c r="N463" s="389"/>
      <c r="O463" s="389"/>
      <c r="P463" s="389"/>
    </row>
    <row r="464" spans="5:16">
      <c r="E464" s="389"/>
      <c r="F464" s="389"/>
      <c r="G464" s="389"/>
      <c r="H464" s="389"/>
      <c r="I464" s="389"/>
      <c r="J464" s="389"/>
      <c r="K464" s="389"/>
      <c r="L464" s="389"/>
      <c r="M464" s="389"/>
      <c r="N464" s="389"/>
      <c r="O464" s="389"/>
      <c r="P464" s="389"/>
    </row>
    <row r="465" spans="5:16">
      <c r="E465" s="389"/>
      <c r="F465" s="389"/>
      <c r="G465" s="389"/>
      <c r="H465" s="389"/>
      <c r="I465" s="389"/>
      <c r="J465" s="389"/>
      <c r="K465" s="389"/>
      <c r="L465" s="389"/>
      <c r="M465" s="389"/>
      <c r="N465" s="389"/>
      <c r="O465" s="389"/>
      <c r="P465" s="389"/>
    </row>
    <row r="466" spans="5:16">
      <c r="E466" s="389"/>
      <c r="F466" s="389"/>
      <c r="G466" s="389"/>
      <c r="H466" s="389"/>
      <c r="I466" s="389"/>
      <c r="J466" s="389"/>
      <c r="K466" s="389"/>
      <c r="L466" s="389"/>
      <c r="M466" s="389"/>
      <c r="N466" s="389"/>
      <c r="O466" s="389"/>
      <c r="P466" s="389"/>
    </row>
    <row r="467" spans="5:16">
      <c r="E467" s="389"/>
      <c r="F467" s="389"/>
      <c r="G467" s="389"/>
      <c r="H467" s="389"/>
      <c r="I467" s="389"/>
      <c r="J467" s="389"/>
      <c r="K467" s="389"/>
      <c r="L467" s="389"/>
      <c r="M467" s="389"/>
      <c r="N467" s="389"/>
      <c r="O467" s="389"/>
      <c r="P467" s="389"/>
    </row>
    <row r="468" spans="5:16">
      <c r="E468" s="389"/>
      <c r="F468" s="389"/>
      <c r="G468" s="389"/>
      <c r="H468" s="389"/>
      <c r="I468" s="389"/>
      <c r="J468" s="389"/>
      <c r="K468" s="389"/>
      <c r="L468" s="389"/>
      <c r="M468" s="389"/>
      <c r="N468" s="389"/>
      <c r="O468" s="389"/>
      <c r="P468" s="389"/>
    </row>
    <row r="469" spans="5:16">
      <c r="E469" s="389"/>
      <c r="F469" s="389"/>
      <c r="G469" s="389"/>
      <c r="H469" s="389"/>
      <c r="I469" s="389"/>
      <c r="J469" s="389"/>
      <c r="K469" s="389"/>
      <c r="L469" s="389"/>
      <c r="M469" s="389"/>
      <c r="N469" s="389"/>
      <c r="O469" s="389"/>
      <c r="P469" s="389"/>
    </row>
    <row r="470" spans="5:16">
      <c r="E470" s="389"/>
      <c r="F470" s="389"/>
      <c r="G470" s="389"/>
      <c r="H470" s="389"/>
      <c r="I470" s="389"/>
      <c r="J470" s="389"/>
      <c r="K470" s="389"/>
      <c r="L470" s="389"/>
      <c r="M470" s="389"/>
      <c r="N470" s="389"/>
      <c r="O470" s="389"/>
      <c r="P470" s="389"/>
    </row>
    <row r="471" spans="5:16">
      <c r="E471" s="389"/>
      <c r="F471" s="389"/>
      <c r="G471" s="389"/>
      <c r="H471" s="389"/>
      <c r="I471" s="389"/>
      <c r="J471" s="389"/>
      <c r="K471" s="389"/>
      <c r="L471" s="389"/>
      <c r="M471" s="389"/>
      <c r="N471" s="389"/>
      <c r="O471" s="389"/>
      <c r="P471" s="389"/>
    </row>
    <row r="472" spans="5:16">
      <c r="E472" s="389"/>
      <c r="F472" s="389"/>
      <c r="G472" s="389"/>
      <c r="H472" s="389"/>
      <c r="I472" s="389"/>
      <c r="J472" s="389"/>
      <c r="K472" s="389"/>
      <c r="L472" s="389"/>
      <c r="M472" s="389"/>
      <c r="N472" s="389"/>
      <c r="O472" s="389"/>
      <c r="P472" s="389"/>
    </row>
    <row r="473" spans="5:16">
      <c r="E473" s="389"/>
      <c r="F473" s="389"/>
      <c r="G473" s="389"/>
      <c r="H473" s="389"/>
      <c r="I473" s="389"/>
      <c r="J473" s="389"/>
      <c r="K473" s="389"/>
      <c r="L473" s="389"/>
      <c r="M473" s="389"/>
      <c r="N473" s="389"/>
      <c r="O473" s="389"/>
      <c r="P473" s="389"/>
    </row>
    <row r="474" spans="5:16">
      <c r="E474" s="389"/>
      <c r="F474" s="389"/>
      <c r="G474" s="389"/>
      <c r="H474" s="389"/>
      <c r="I474" s="389"/>
      <c r="J474" s="389"/>
      <c r="K474" s="389"/>
      <c r="L474" s="389"/>
      <c r="M474" s="389"/>
      <c r="N474" s="389"/>
      <c r="O474" s="389"/>
      <c r="P474" s="389"/>
    </row>
    <row r="475" spans="5:16">
      <c r="E475" s="389"/>
      <c r="F475" s="389"/>
      <c r="G475" s="389"/>
      <c r="H475" s="389"/>
      <c r="I475" s="389"/>
      <c r="J475" s="389"/>
      <c r="K475" s="389"/>
      <c r="L475" s="389"/>
      <c r="M475" s="389"/>
      <c r="N475" s="389"/>
      <c r="O475" s="389"/>
      <c r="P475" s="389"/>
    </row>
    <row r="476" spans="5:16">
      <c r="E476" s="389"/>
      <c r="F476" s="389"/>
      <c r="G476" s="389"/>
      <c r="H476" s="389"/>
      <c r="I476" s="389"/>
      <c r="J476" s="389"/>
      <c r="K476" s="389"/>
      <c r="L476" s="389"/>
      <c r="M476" s="389"/>
      <c r="N476" s="389"/>
      <c r="O476" s="389"/>
      <c r="P476" s="389"/>
    </row>
    <row r="477" spans="5:16">
      <c r="E477" s="389"/>
      <c r="F477" s="389"/>
      <c r="G477" s="389"/>
      <c r="H477" s="389"/>
      <c r="I477" s="389"/>
      <c r="J477" s="389"/>
      <c r="K477" s="389"/>
      <c r="L477" s="389"/>
      <c r="M477" s="389"/>
      <c r="N477" s="389"/>
      <c r="O477" s="389"/>
      <c r="P477" s="389"/>
    </row>
    <row r="478" spans="5:16">
      <c r="E478" s="389"/>
      <c r="F478" s="389"/>
      <c r="G478" s="389"/>
      <c r="H478" s="389"/>
      <c r="I478" s="389"/>
      <c r="J478" s="389"/>
      <c r="K478" s="389"/>
      <c r="L478" s="389"/>
      <c r="M478" s="389"/>
      <c r="N478" s="389"/>
      <c r="O478" s="389"/>
      <c r="P478" s="389"/>
    </row>
    <row r="479" spans="5:16">
      <c r="E479" s="389"/>
      <c r="F479" s="389"/>
      <c r="G479" s="389"/>
      <c r="H479" s="389"/>
      <c r="I479" s="389"/>
      <c r="J479" s="389"/>
      <c r="K479" s="389"/>
      <c r="L479" s="389"/>
      <c r="M479" s="389"/>
      <c r="N479" s="389"/>
      <c r="O479" s="389"/>
      <c r="P479" s="389"/>
    </row>
    <row r="480" spans="5:16">
      <c r="E480" s="389"/>
      <c r="F480" s="389"/>
      <c r="G480" s="389"/>
      <c r="H480" s="389"/>
      <c r="I480" s="389"/>
      <c r="J480" s="389"/>
      <c r="K480" s="389"/>
      <c r="L480" s="389"/>
      <c r="M480" s="389"/>
      <c r="N480" s="389"/>
      <c r="O480" s="389"/>
      <c r="P480" s="389"/>
    </row>
    <row r="481" spans="5:16">
      <c r="E481" s="389"/>
      <c r="F481" s="389"/>
      <c r="G481" s="389"/>
      <c r="H481" s="389"/>
      <c r="I481" s="389"/>
      <c r="J481" s="389"/>
      <c r="K481" s="389"/>
      <c r="L481" s="389"/>
      <c r="M481" s="389"/>
      <c r="N481" s="389"/>
      <c r="O481" s="389"/>
      <c r="P481" s="389"/>
    </row>
    <row r="482" spans="5:16">
      <c r="E482" s="389"/>
      <c r="F482" s="389"/>
      <c r="G482" s="389"/>
      <c r="H482" s="389"/>
      <c r="I482" s="389"/>
      <c r="J482" s="389"/>
      <c r="K482" s="389"/>
      <c r="L482" s="389"/>
      <c r="M482" s="389"/>
      <c r="N482" s="389"/>
      <c r="O482" s="389"/>
      <c r="P482" s="389"/>
    </row>
    <row r="483" spans="5:16">
      <c r="E483" s="389"/>
      <c r="F483" s="389"/>
      <c r="G483" s="389"/>
      <c r="H483" s="389"/>
      <c r="I483" s="389"/>
      <c r="J483" s="389"/>
      <c r="K483" s="389"/>
      <c r="L483" s="389"/>
      <c r="M483" s="389"/>
      <c r="N483" s="389"/>
      <c r="O483" s="389"/>
      <c r="P483" s="389"/>
    </row>
    <row r="484" spans="5:16">
      <c r="E484" s="389"/>
      <c r="F484" s="389"/>
      <c r="G484" s="389"/>
      <c r="H484" s="389"/>
      <c r="I484" s="389"/>
      <c r="J484" s="389"/>
      <c r="K484" s="389"/>
      <c r="L484" s="389"/>
      <c r="M484" s="389"/>
      <c r="N484" s="389"/>
      <c r="O484" s="389"/>
      <c r="P484" s="389"/>
    </row>
    <row r="485" spans="5:16">
      <c r="E485" s="389"/>
      <c r="F485" s="389"/>
      <c r="G485" s="389"/>
      <c r="H485" s="389"/>
      <c r="I485" s="389"/>
      <c r="J485" s="389"/>
      <c r="K485" s="389"/>
      <c r="L485" s="389"/>
      <c r="M485" s="389"/>
      <c r="N485" s="389"/>
      <c r="O485" s="389"/>
      <c r="P485" s="389"/>
    </row>
    <row r="486" spans="5:16">
      <c r="E486" s="389"/>
      <c r="F486" s="389"/>
      <c r="G486" s="389"/>
      <c r="H486" s="389"/>
      <c r="I486" s="389"/>
      <c r="J486" s="389"/>
      <c r="K486" s="389"/>
      <c r="L486" s="389"/>
      <c r="M486" s="389"/>
      <c r="N486" s="389"/>
      <c r="O486" s="389"/>
      <c r="P486" s="389"/>
    </row>
    <row r="487" spans="5:16">
      <c r="E487" s="389"/>
      <c r="F487" s="389"/>
      <c r="G487" s="389"/>
      <c r="H487" s="389"/>
      <c r="I487" s="389"/>
      <c r="J487" s="389"/>
      <c r="K487" s="389"/>
      <c r="L487" s="389"/>
      <c r="M487" s="389"/>
      <c r="N487" s="389"/>
      <c r="O487" s="389"/>
      <c r="P487" s="389"/>
    </row>
    <row r="488" spans="5:16">
      <c r="E488" s="389"/>
      <c r="F488" s="389"/>
      <c r="G488" s="389"/>
      <c r="H488" s="389"/>
      <c r="I488" s="389"/>
      <c r="J488" s="389"/>
      <c r="K488" s="389"/>
      <c r="L488" s="389"/>
      <c r="M488" s="389"/>
      <c r="N488" s="389"/>
      <c r="O488" s="389"/>
      <c r="P488" s="389"/>
    </row>
    <row r="489" spans="5:16">
      <c r="E489" s="389"/>
      <c r="F489" s="389"/>
      <c r="G489" s="389"/>
      <c r="H489" s="389"/>
      <c r="I489" s="389"/>
      <c r="J489" s="389"/>
      <c r="K489" s="389"/>
      <c r="L489" s="389"/>
      <c r="M489" s="389"/>
      <c r="N489" s="389"/>
      <c r="O489" s="389"/>
      <c r="P489" s="389"/>
    </row>
    <row r="490" spans="5:16">
      <c r="E490" s="389"/>
      <c r="F490" s="389"/>
      <c r="G490" s="389"/>
      <c r="H490" s="389"/>
      <c r="I490" s="389"/>
      <c r="J490" s="389"/>
      <c r="K490" s="389"/>
      <c r="L490" s="389"/>
      <c r="M490" s="389"/>
      <c r="N490" s="389"/>
      <c r="O490" s="389"/>
      <c r="P490" s="389"/>
    </row>
    <row r="491" spans="5:16">
      <c r="E491" s="389"/>
      <c r="F491" s="389"/>
      <c r="G491" s="389"/>
      <c r="H491" s="389"/>
      <c r="I491" s="389"/>
      <c r="J491" s="389"/>
      <c r="K491" s="389"/>
      <c r="L491" s="389"/>
      <c r="M491" s="389"/>
      <c r="N491" s="389"/>
      <c r="O491" s="389"/>
      <c r="P491" s="389"/>
    </row>
    <row r="492" spans="5:16">
      <c r="E492" s="389"/>
      <c r="F492" s="389"/>
      <c r="G492" s="389"/>
      <c r="H492" s="389"/>
      <c r="I492" s="389"/>
      <c r="J492" s="389"/>
      <c r="K492" s="389"/>
      <c r="L492" s="389"/>
      <c r="M492" s="389"/>
      <c r="N492" s="389"/>
      <c r="O492" s="389"/>
      <c r="P492" s="389"/>
    </row>
    <row r="493" spans="5:16">
      <c r="E493" s="389"/>
      <c r="F493" s="389"/>
      <c r="G493" s="389"/>
      <c r="H493" s="389"/>
      <c r="I493" s="389"/>
      <c r="J493" s="389"/>
      <c r="K493" s="389"/>
      <c r="L493" s="389"/>
      <c r="M493" s="389"/>
      <c r="N493" s="389"/>
      <c r="O493" s="389"/>
      <c r="P493" s="389"/>
    </row>
    <row r="494" spans="5:16">
      <c r="E494" s="389"/>
      <c r="F494" s="389"/>
      <c r="G494" s="389"/>
      <c r="H494" s="389"/>
      <c r="I494" s="389"/>
      <c r="J494" s="389"/>
      <c r="K494" s="389"/>
      <c r="L494" s="389"/>
      <c r="M494" s="389"/>
      <c r="N494" s="389"/>
      <c r="O494" s="389"/>
      <c r="P494" s="389"/>
    </row>
    <row r="495" spans="5:16">
      <c r="E495" s="389"/>
      <c r="F495" s="389"/>
      <c r="G495" s="389"/>
      <c r="H495" s="389"/>
      <c r="I495" s="389"/>
      <c r="J495" s="389"/>
      <c r="K495" s="389"/>
      <c r="L495" s="389"/>
      <c r="M495" s="389"/>
      <c r="N495" s="389"/>
      <c r="O495" s="389"/>
      <c r="P495" s="389"/>
    </row>
    <row r="496" spans="5:16">
      <c r="E496" s="389"/>
      <c r="F496" s="389"/>
      <c r="G496" s="389"/>
      <c r="H496" s="389"/>
      <c r="I496" s="389"/>
      <c r="J496" s="389"/>
      <c r="K496" s="389"/>
      <c r="L496" s="389"/>
      <c r="M496" s="389"/>
      <c r="N496" s="389"/>
      <c r="O496" s="389"/>
      <c r="P496" s="389"/>
    </row>
    <row r="497" spans="5:16">
      <c r="E497" s="389"/>
      <c r="F497" s="389"/>
      <c r="G497" s="389"/>
      <c r="H497" s="389"/>
      <c r="I497" s="389"/>
      <c r="J497" s="389"/>
      <c r="K497" s="389"/>
      <c r="L497" s="389"/>
      <c r="M497" s="389"/>
      <c r="N497" s="389"/>
      <c r="O497" s="389"/>
      <c r="P497" s="389"/>
    </row>
    <row r="498" spans="5:16">
      <c r="E498" s="389"/>
      <c r="F498" s="389"/>
      <c r="G498" s="389"/>
      <c r="H498" s="389"/>
      <c r="I498" s="389"/>
      <c r="J498" s="389"/>
      <c r="K498" s="389"/>
      <c r="L498" s="389"/>
      <c r="M498" s="389"/>
      <c r="N498" s="389"/>
      <c r="O498" s="389"/>
      <c r="P498" s="389"/>
    </row>
    <row r="499" spans="5:16">
      <c r="E499" s="389"/>
      <c r="F499" s="389"/>
      <c r="G499" s="389"/>
      <c r="H499" s="389"/>
      <c r="I499" s="389"/>
      <c r="J499" s="389"/>
      <c r="K499" s="389"/>
      <c r="L499" s="389"/>
      <c r="M499" s="389"/>
      <c r="N499" s="389"/>
      <c r="O499" s="389"/>
      <c r="P499" s="389"/>
    </row>
    <row r="500" spans="5:16">
      <c r="E500" s="389"/>
      <c r="F500" s="389"/>
      <c r="G500" s="389"/>
      <c r="H500" s="389"/>
      <c r="I500" s="389"/>
      <c r="J500" s="389"/>
      <c r="K500" s="389"/>
      <c r="L500" s="389"/>
      <c r="M500" s="389"/>
      <c r="N500" s="389"/>
      <c r="O500" s="389"/>
      <c r="P500" s="389"/>
    </row>
    <row r="501" spans="5:16">
      <c r="E501" s="389"/>
      <c r="F501" s="389"/>
      <c r="G501" s="389"/>
      <c r="H501" s="389"/>
      <c r="I501" s="389"/>
      <c r="J501" s="389"/>
      <c r="K501" s="389"/>
      <c r="L501" s="389"/>
      <c r="M501" s="389"/>
      <c r="N501" s="389"/>
      <c r="O501" s="389"/>
      <c r="P501" s="389"/>
    </row>
    <row r="502" spans="5:16">
      <c r="E502" s="389"/>
      <c r="F502" s="389"/>
      <c r="G502" s="389"/>
      <c r="H502" s="389"/>
      <c r="I502" s="389"/>
      <c r="J502" s="389"/>
      <c r="K502" s="389"/>
      <c r="L502" s="389"/>
      <c r="M502" s="389"/>
      <c r="N502" s="389"/>
      <c r="O502" s="389"/>
      <c r="P502" s="389"/>
    </row>
    <row r="503" spans="5:16">
      <c r="E503" s="389"/>
      <c r="F503" s="389"/>
      <c r="G503" s="389"/>
      <c r="H503" s="389"/>
      <c r="I503" s="389"/>
      <c r="J503" s="389"/>
      <c r="K503" s="389"/>
      <c r="L503" s="389"/>
      <c r="M503" s="389"/>
      <c r="N503" s="389"/>
      <c r="O503" s="389"/>
      <c r="P503" s="389"/>
    </row>
    <row r="504" spans="5:16">
      <c r="E504" s="389"/>
      <c r="F504" s="389"/>
      <c r="G504" s="389"/>
      <c r="H504" s="389"/>
      <c r="I504" s="389"/>
      <c r="J504" s="389"/>
      <c r="K504" s="389"/>
      <c r="L504" s="389"/>
      <c r="M504" s="389"/>
      <c r="N504" s="389"/>
      <c r="O504" s="389"/>
      <c r="P504" s="389"/>
    </row>
    <row r="505" spans="5:16">
      <c r="E505" s="389"/>
      <c r="F505" s="389"/>
      <c r="G505" s="389"/>
      <c r="H505" s="389"/>
      <c r="I505" s="389"/>
      <c r="J505" s="389"/>
      <c r="K505" s="389"/>
      <c r="L505" s="389"/>
      <c r="M505" s="389"/>
      <c r="N505" s="389"/>
      <c r="O505" s="389"/>
      <c r="P505" s="389"/>
    </row>
    <row r="506" spans="5:16">
      <c r="E506" s="389"/>
      <c r="F506" s="389"/>
      <c r="G506" s="389"/>
      <c r="H506" s="389"/>
      <c r="I506" s="389"/>
      <c r="J506" s="389"/>
      <c r="K506" s="389"/>
      <c r="L506" s="389"/>
      <c r="M506" s="389"/>
      <c r="N506" s="389"/>
      <c r="O506" s="389"/>
      <c r="P506" s="389"/>
    </row>
    <row r="507" spans="5:16">
      <c r="E507" s="389"/>
      <c r="F507" s="389"/>
      <c r="G507" s="389"/>
      <c r="H507" s="389"/>
      <c r="I507" s="389"/>
      <c r="J507" s="389"/>
      <c r="K507" s="389"/>
      <c r="L507" s="389"/>
      <c r="M507" s="389"/>
      <c r="N507" s="389"/>
      <c r="O507" s="389"/>
      <c r="P507" s="389"/>
    </row>
    <row r="508" spans="5:16">
      <c r="E508" s="389"/>
      <c r="F508" s="389"/>
      <c r="G508" s="389"/>
      <c r="H508" s="389"/>
      <c r="I508" s="389"/>
      <c r="J508" s="389"/>
      <c r="K508" s="389"/>
      <c r="L508" s="389"/>
      <c r="M508" s="389"/>
      <c r="N508" s="389"/>
      <c r="O508" s="389"/>
      <c r="P508" s="389"/>
    </row>
    <row r="509" spans="5:16">
      <c r="E509" s="389"/>
      <c r="F509" s="389"/>
      <c r="G509" s="389"/>
      <c r="H509" s="389"/>
      <c r="I509" s="389"/>
      <c r="J509" s="389"/>
      <c r="K509" s="389"/>
      <c r="L509" s="389"/>
      <c r="M509" s="389"/>
      <c r="N509" s="389"/>
      <c r="O509" s="389"/>
      <c r="P509" s="389"/>
    </row>
    <row r="510" spans="5:16">
      <c r="E510" s="389"/>
      <c r="F510" s="389"/>
      <c r="G510" s="389"/>
      <c r="H510" s="389"/>
      <c r="I510" s="389"/>
      <c r="J510" s="389"/>
      <c r="K510" s="389"/>
      <c r="L510" s="389"/>
      <c r="M510" s="389"/>
      <c r="N510" s="389"/>
      <c r="O510" s="389"/>
      <c r="P510" s="389"/>
    </row>
    <row r="511" spans="5:16">
      <c r="E511" s="389"/>
      <c r="F511" s="389"/>
      <c r="G511" s="389"/>
      <c r="H511" s="389"/>
      <c r="I511" s="389"/>
      <c r="J511" s="389"/>
      <c r="K511" s="389"/>
      <c r="L511" s="389"/>
      <c r="M511" s="389"/>
      <c r="N511" s="389"/>
      <c r="O511" s="389"/>
      <c r="P511" s="389"/>
    </row>
    <row r="512" spans="5:16">
      <c r="E512" s="389"/>
      <c r="F512" s="389"/>
      <c r="G512" s="389"/>
      <c r="H512" s="389"/>
      <c r="I512" s="389"/>
      <c r="J512" s="389"/>
      <c r="K512" s="389"/>
      <c r="L512" s="389"/>
      <c r="M512" s="389"/>
      <c r="N512" s="389"/>
      <c r="O512" s="389"/>
      <c r="P512" s="389"/>
    </row>
    <row r="513" spans="5:16">
      <c r="E513" s="389"/>
      <c r="F513" s="389"/>
      <c r="G513" s="389"/>
      <c r="H513" s="389"/>
      <c r="I513" s="389"/>
      <c r="J513" s="389"/>
      <c r="K513" s="389"/>
      <c r="L513" s="389"/>
      <c r="M513" s="389"/>
      <c r="N513" s="389"/>
      <c r="O513" s="389"/>
      <c r="P513" s="389"/>
    </row>
    <row r="514" spans="5:16">
      <c r="E514" s="389"/>
      <c r="F514" s="389"/>
      <c r="G514" s="389"/>
      <c r="H514" s="389"/>
      <c r="I514" s="389"/>
      <c r="J514" s="389"/>
      <c r="K514" s="389"/>
      <c r="L514" s="389"/>
      <c r="M514" s="389"/>
      <c r="N514" s="389"/>
      <c r="O514" s="389"/>
      <c r="P514" s="389"/>
    </row>
    <row r="515" spans="5:16">
      <c r="E515" s="389"/>
      <c r="F515" s="389"/>
      <c r="G515" s="389"/>
      <c r="H515" s="389"/>
      <c r="I515" s="389"/>
      <c r="J515" s="389"/>
      <c r="K515" s="389"/>
      <c r="L515" s="389"/>
      <c r="M515" s="389"/>
      <c r="N515" s="389"/>
      <c r="O515" s="389"/>
      <c r="P515" s="389"/>
    </row>
    <row r="516" spans="5:16">
      <c r="E516" s="389"/>
      <c r="F516" s="389"/>
      <c r="G516" s="389"/>
      <c r="H516" s="389"/>
      <c r="I516" s="389"/>
      <c r="J516" s="389"/>
      <c r="K516" s="389"/>
      <c r="L516" s="389"/>
      <c r="M516" s="389"/>
      <c r="N516" s="389"/>
      <c r="O516" s="389"/>
      <c r="P516" s="389"/>
    </row>
    <row r="517" spans="5:16">
      <c r="E517" s="389"/>
      <c r="F517" s="389"/>
      <c r="G517" s="389"/>
      <c r="H517" s="389"/>
      <c r="I517" s="389"/>
      <c r="J517" s="389"/>
      <c r="K517" s="389"/>
      <c r="L517" s="389"/>
      <c r="M517" s="389"/>
      <c r="N517" s="389"/>
      <c r="O517" s="389"/>
      <c r="P517" s="389"/>
    </row>
    <row r="518" spans="5:16">
      <c r="E518" s="389"/>
      <c r="F518" s="389"/>
      <c r="G518" s="389"/>
      <c r="H518" s="389"/>
      <c r="I518" s="389"/>
      <c r="J518" s="389"/>
      <c r="K518" s="389"/>
      <c r="L518" s="389"/>
      <c r="M518" s="389"/>
      <c r="N518" s="389"/>
      <c r="O518" s="389"/>
      <c r="P518" s="389"/>
    </row>
    <row r="519" spans="5:16">
      <c r="E519" s="389"/>
      <c r="F519" s="389"/>
      <c r="G519" s="389"/>
      <c r="H519" s="389"/>
      <c r="I519" s="389"/>
      <c r="J519" s="389"/>
      <c r="K519" s="389"/>
      <c r="L519" s="389"/>
      <c r="M519" s="389"/>
      <c r="N519" s="389"/>
      <c r="O519" s="389"/>
      <c r="P519" s="389"/>
    </row>
    <row r="520" spans="5:16">
      <c r="E520" s="389"/>
      <c r="F520" s="389"/>
      <c r="G520" s="389"/>
      <c r="H520" s="389"/>
      <c r="I520" s="389"/>
      <c r="J520" s="389"/>
      <c r="K520" s="389"/>
      <c r="L520" s="389"/>
      <c r="M520" s="389"/>
      <c r="N520" s="389"/>
      <c r="O520" s="389"/>
      <c r="P520" s="389"/>
    </row>
    <row r="521" spans="5:16">
      <c r="E521" s="389"/>
      <c r="F521" s="389"/>
      <c r="G521" s="389"/>
      <c r="H521" s="389"/>
      <c r="I521" s="389"/>
      <c r="J521" s="389"/>
      <c r="K521" s="389"/>
      <c r="L521" s="389"/>
      <c r="M521" s="389"/>
      <c r="N521" s="389"/>
      <c r="O521" s="389"/>
      <c r="P521" s="389"/>
    </row>
    <row r="522" spans="5:16">
      <c r="E522" s="389"/>
      <c r="F522" s="389"/>
      <c r="G522" s="389"/>
      <c r="H522" s="389"/>
      <c r="I522" s="389"/>
      <c r="J522" s="389"/>
      <c r="K522" s="389"/>
      <c r="L522" s="389"/>
      <c r="M522" s="389"/>
      <c r="N522" s="389"/>
      <c r="O522" s="389"/>
      <c r="P522" s="389"/>
    </row>
    <row r="523" spans="5:16">
      <c r="E523" s="389"/>
      <c r="F523" s="389"/>
      <c r="G523" s="389"/>
      <c r="H523" s="389"/>
      <c r="I523" s="389"/>
      <c r="J523" s="389"/>
      <c r="K523" s="389"/>
      <c r="L523" s="389"/>
      <c r="M523" s="389"/>
      <c r="N523" s="389"/>
      <c r="O523" s="389"/>
      <c r="P523" s="389"/>
    </row>
    <row r="524" spans="5:16">
      <c r="E524" s="389"/>
      <c r="F524" s="389"/>
      <c r="G524" s="389"/>
      <c r="H524" s="389"/>
      <c r="I524" s="389"/>
      <c r="J524" s="389"/>
      <c r="K524" s="389"/>
      <c r="L524" s="389"/>
      <c r="M524" s="389"/>
      <c r="N524" s="389"/>
      <c r="O524" s="389"/>
      <c r="P524" s="389"/>
    </row>
    <row r="525" spans="5:16">
      <c r="E525" s="389"/>
      <c r="F525" s="389"/>
      <c r="G525" s="389"/>
      <c r="H525" s="389"/>
      <c r="I525" s="389"/>
      <c r="J525" s="389"/>
      <c r="K525" s="389"/>
      <c r="L525" s="389"/>
      <c r="M525" s="389"/>
      <c r="N525" s="389"/>
      <c r="O525" s="389"/>
      <c r="P525" s="389"/>
    </row>
    <row r="526" spans="5:16">
      <c r="E526" s="389"/>
      <c r="F526" s="389"/>
      <c r="G526" s="389"/>
      <c r="H526" s="389"/>
      <c r="I526" s="389"/>
      <c r="J526" s="389"/>
      <c r="K526" s="389"/>
      <c r="L526" s="389"/>
      <c r="M526" s="389"/>
      <c r="N526" s="389"/>
      <c r="O526" s="389"/>
      <c r="P526" s="389"/>
    </row>
    <row r="527" spans="5:16">
      <c r="E527" s="389"/>
      <c r="F527" s="389"/>
      <c r="G527" s="389"/>
      <c r="H527" s="389"/>
      <c r="I527" s="389"/>
      <c r="J527" s="389"/>
      <c r="K527" s="389"/>
      <c r="L527" s="389"/>
      <c r="M527" s="389"/>
      <c r="N527" s="389"/>
      <c r="O527" s="389"/>
      <c r="P527" s="389"/>
    </row>
    <row r="528" spans="5:16">
      <c r="E528" s="389"/>
      <c r="F528" s="389"/>
      <c r="G528" s="389"/>
      <c r="H528" s="389"/>
      <c r="I528" s="389"/>
      <c r="J528" s="389"/>
      <c r="K528" s="389"/>
      <c r="L528" s="389"/>
      <c r="M528" s="389"/>
      <c r="N528" s="389"/>
      <c r="O528" s="389"/>
      <c r="P528" s="389"/>
    </row>
    <row r="529" spans="5:16">
      <c r="E529" s="389"/>
      <c r="F529" s="389"/>
      <c r="G529" s="389"/>
      <c r="H529" s="389"/>
      <c r="I529" s="389"/>
      <c r="J529" s="389"/>
      <c r="K529" s="389"/>
      <c r="L529" s="389"/>
      <c r="M529" s="389"/>
      <c r="N529" s="389"/>
      <c r="O529" s="389"/>
      <c r="P529" s="389"/>
    </row>
    <row r="530" spans="5:16">
      <c r="E530" s="389"/>
      <c r="F530" s="389"/>
      <c r="G530" s="389"/>
      <c r="H530" s="389"/>
      <c r="I530" s="389"/>
      <c r="J530" s="389"/>
      <c r="K530" s="389"/>
      <c r="L530" s="389"/>
      <c r="M530" s="389"/>
      <c r="N530" s="389"/>
      <c r="O530" s="389"/>
      <c r="P530" s="389"/>
    </row>
    <row r="531" spans="5:16">
      <c r="E531" s="389"/>
      <c r="F531" s="389"/>
      <c r="G531" s="389"/>
      <c r="H531" s="389"/>
      <c r="I531" s="389"/>
      <c r="J531" s="389"/>
      <c r="K531" s="389"/>
      <c r="L531" s="389"/>
      <c r="M531" s="389"/>
      <c r="N531" s="389"/>
      <c r="O531" s="389"/>
      <c r="P531" s="389"/>
    </row>
    <row r="532" spans="5:16">
      <c r="E532" s="389"/>
      <c r="F532" s="389"/>
      <c r="G532" s="389"/>
      <c r="H532" s="389"/>
      <c r="I532" s="389"/>
      <c r="J532" s="389"/>
      <c r="K532" s="389"/>
      <c r="L532" s="389"/>
      <c r="M532" s="389"/>
      <c r="N532" s="389"/>
      <c r="O532" s="389"/>
      <c r="P532" s="389"/>
    </row>
    <row r="533" spans="5:16">
      <c r="E533" s="389"/>
      <c r="F533" s="389"/>
      <c r="G533" s="389"/>
      <c r="H533" s="389"/>
      <c r="I533" s="389"/>
      <c r="J533" s="389"/>
      <c r="K533" s="389"/>
      <c r="L533" s="389"/>
      <c r="M533" s="389"/>
      <c r="N533" s="389"/>
      <c r="O533" s="389"/>
      <c r="P533" s="389"/>
    </row>
    <row r="534" spans="5:16">
      <c r="E534" s="389"/>
      <c r="F534" s="389"/>
      <c r="G534" s="389"/>
      <c r="H534" s="389"/>
      <c r="I534" s="389"/>
      <c r="J534" s="389"/>
      <c r="K534" s="389"/>
      <c r="L534" s="389"/>
      <c r="M534" s="389"/>
      <c r="N534" s="389"/>
      <c r="O534" s="389"/>
      <c r="P534" s="389"/>
    </row>
    <row r="535" spans="5:16">
      <c r="E535" s="389"/>
      <c r="F535" s="389"/>
      <c r="G535" s="389"/>
      <c r="H535" s="389"/>
      <c r="I535" s="389"/>
      <c r="J535" s="389"/>
      <c r="K535" s="389"/>
      <c r="L535" s="389"/>
      <c r="M535" s="389"/>
      <c r="N535" s="389"/>
      <c r="O535" s="389"/>
      <c r="P535" s="389"/>
    </row>
    <row r="536" spans="5:16">
      <c r="E536" s="389"/>
      <c r="F536" s="389"/>
      <c r="G536" s="389"/>
      <c r="H536" s="389"/>
      <c r="I536" s="389"/>
      <c r="J536" s="389"/>
      <c r="K536" s="389"/>
      <c r="L536" s="389"/>
      <c r="M536" s="389"/>
      <c r="N536" s="389"/>
      <c r="O536" s="389"/>
      <c r="P536" s="389"/>
    </row>
    <row r="537" spans="5:16">
      <c r="E537" s="389"/>
      <c r="F537" s="389"/>
      <c r="G537" s="389"/>
      <c r="H537" s="389"/>
      <c r="I537" s="389"/>
      <c r="J537" s="389"/>
      <c r="K537" s="389"/>
      <c r="L537" s="389"/>
      <c r="M537" s="389"/>
      <c r="N537" s="389"/>
      <c r="O537" s="389"/>
      <c r="P537" s="389"/>
    </row>
    <row r="538" spans="5:16">
      <c r="E538" s="389"/>
      <c r="F538" s="389"/>
      <c r="G538" s="389"/>
      <c r="H538" s="389"/>
      <c r="I538" s="389"/>
      <c r="J538" s="389"/>
      <c r="K538" s="389"/>
      <c r="L538" s="389"/>
      <c r="M538" s="389"/>
      <c r="N538" s="389"/>
      <c r="O538" s="389"/>
      <c r="P538" s="389"/>
    </row>
    <row r="539" spans="5:16">
      <c r="E539" s="389"/>
      <c r="F539" s="389"/>
      <c r="G539" s="389"/>
      <c r="H539" s="389"/>
      <c r="I539" s="389"/>
      <c r="J539" s="389"/>
      <c r="K539" s="389"/>
      <c r="L539" s="389"/>
      <c r="M539" s="389"/>
      <c r="N539" s="389"/>
      <c r="O539" s="389"/>
      <c r="P539" s="389"/>
    </row>
    <row r="540" spans="5:16">
      <c r="E540" s="389"/>
      <c r="F540" s="389"/>
      <c r="G540" s="389"/>
      <c r="H540" s="389"/>
      <c r="I540" s="389"/>
      <c r="J540" s="389"/>
      <c r="K540" s="389"/>
      <c r="L540" s="389"/>
      <c r="M540" s="389"/>
      <c r="N540" s="389"/>
      <c r="O540" s="389"/>
      <c r="P540" s="389"/>
    </row>
    <row r="541" spans="5:16">
      <c r="E541" s="389"/>
      <c r="F541" s="389"/>
      <c r="G541" s="389"/>
      <c r="H541" s="389"/>
      <c r="I541" s="389"/>
      <c r="J541" s="389"/>
      <c r="K541" s="389"/>
      <c r="L541" s="389"/>
      <c r="M541" s="389"/>
      <c r="N541" s="389"/>
      <c r="O541" s="389"/>
      <c r="P541" s="389"/>
    </row>
    <row r="542" spans="5:16">
      <c r="E542" s="389"/>
      <c r="F542" s="389"/>
      <c r="G542" s="389"/>
      <c r="H542" s="389"/>
      <c r="I542" s="389"/>
      <c r="J542" s="389"/>
      <c r="K542" s="389"/>
      <c r="L542" s="389"/>
      <c r="M542" s="389"/>
      <c r="N542" s="389"/>
      <c r="O542" s="389"/>
      <c r="P542" s="389"/>
    </row>
    <row r="543" spans="5:16">
      <c r="E543" s="389"/>
      <c r="F543" s="389"/>
      <c r="G543" s="389"/>
      <c r="H543" s="389"/>
      <c r="I543" s="389"/>
      <c r="J543" s="389"/>
      <c r="K543" s="389"/>
      <c r="L543" s="389"/>
      <c r="M543" s="389"/>
      <c r="N543" s="389"/>
      <c r="O543" s="389"/>
      <c r="P543" s="389"/>
    </row>
    <row r="544" spans="5:16">
      <c r="E544" s="389"/>
      <c r="F544" s="389"/>
      <c r="G544" s="389"/>
      <c r="H544" s="389"/>
      <c r="I544" s="389"/>
      <c r="J544" s="389"/>
      <c r="K544" s="389"/>
      <c r="L544" s="389"/>
      <c r="M544" s="389"/>
      <c r="N544" s="389"/>
      <c r="O544" s="389"/>
      <c r="P544" s="389"/>
    </row>
    <row r="545" spans="5:16">
      <c r="E545" s="389"/>
      <c r="F545" s="389"/>
      <c r="G545" s="389"/>
      <c r="H545" s="389"/>
      <c r="I545" s="389"/>
      <c r="J545" s="389"/>
      <c r="K545" s="389"/>
      <c r="L545" s="389"/>
      <c r="M545" s="389"/>
      <c r="N545" s="389"/>
      <c r="O545" s="389"/>
      <c r="P545" s="389"/>
    </row>
    <row r="546" spans="5:16">
      <c r="E546" s="389"/>
      <c r="F546" s="389"/>
      <c r="G546" s="389"/>
      <c r="H546" s="389"/>
      <c r="I546" s="389"/>
      <c r="J546" s="389"/>
      <c r="K546" s="389"/>
      <c r="L546" s="389"/>
      <c r="M546" s="389"/>
      <c r="N546" s="389"/>
      <c r="O546" s="389"/>
      <c r="P546" s="389"/>
    </row>
    <row r="547" spans="5:16">
      <c r="E547" s="389"/>
      <c r="F547" s="389"/>
      <c r="G547" s="389"/>
      <c r="H547" s="389"/>
      <c r="I547" s="389"/>
      <c r="J547" s="389"/>
      <c r="K547" s="389"/>
      <c r="L547" s="389"/>
      <c r="M547" s="389"/>
      <c r="N547" s="389"/>
      <c r="O547" s="389"/>
      <c r="P547" s="389"/>
    </row>
    <row r="548" spans="5:16">
      <c r="E548" s="389"/>
      <c r="F548" s="389"/>
      <c r="G548" s="389"/>
      <c r="H548" s="389"/>
      <c r="I548" s="389"/>
      <c r="J548" s="389"/>
      <c r="K548" s="389"/>
      <c r="L548" s="389"/>
      <c r="M548" s="389"/>
      <c r="N548" s="389"/>
      <c r="O548" s="389"/>
      <c r="P548" s="389"/>
    </row>
    <row r="549" spans="5:16">
      <c r="E549" s="389"/>
      <c r="F549" s="389"/>
      <c r="G549" s="389"/>
      <c r="H549" s="389"/>
      <c r="I549" s="389"/>
      <c r="J549" s="389"/>
      <c r="K549" s="389"/>
      <c r="L549" s="389"/>
      <c r="M549" s="389"/>
      <c r="N549" s="389"/>
      <c r="O549" s="389"/>
      <c r="P549" s="389"/>
    </row>
    <row r="550" spans="5:16">
      <c r="E550" s="389"/>
      <c r="F550" s="389"/>
      <c r="G550" s="389"/>
      <c r="H550" s="389"/>
      <c r="I550" s="389"/>
      <c r="J550" s="389"/>
      <c r="K550" s="389"/>
      <c r="L550" s="389"/>
      <c r="M550" s="389"/>
      <c r="N550" s="389"/>
      <c r="O550" s="389"/>
      <c r="P550" s="389"/>
    </row>
    <row r="551" spans="5:16">
      <c r="E551" s="389"/>
      <c r="F551" s="389"/>
      <c r="G551" s="389"/>
      <c r="H551" s="389"/>
      <c r="I551" s="389"/>
      <c r="J551" s="389"/>
      <c r="K551" s="389"/>
      <c r="L551" s="389"/>
      <c r="M551" s="389"/>
      <c r="N551" s="389"/>
      <c r="O551" s="389"/>
      <c r="P551" s="389"/>
    </row>
    <row r="552" spans="5:16">
      <c r="E552" s="389"/>
      <c r="F552" s="389"/>
      <c r="G552" s="389"/>
      <c r="H552" s="389"/>
      <c r="I552" s="389"/>
      <c r="J552" s="389"/>
      <c r="K552" s="389"/>
      <c r="L552" s="389"/>
      <c r="M552" s="389"/>
      <c r="N552" s="389"/>
      <c r="O552" s="389"/>
      <c r="P552" s="389"/>
    </row>
    <row r="553" spans="5:16">
      <c r="E553" s="389"/>
      <c r="F553" s="389"/>
      <c r="G553" s="389"/>
      <c r="H553" s="389"/>
      <c r="I553" s="389"/>
      <c r="J553" s="389"/>
      <c r="K553" s="389"/>
      <c r="L553" s="389"/>
      <c r="M553" s="389"/>
      <c r="N553" s="389"/>
      <c r="O553" s="389"/>
      <c r="P553" s="389"/>
    </row>
    <row r="554" spans="5:16">
      <c r="E554" s="389"/>
      <c r="F554" s="389"/>
      <c r="G554" s="389"/>
      <c r="H554" s="389"/>
      <c r="I554" s="389"/>
      <c r="J554" s="389"/>
      <c r="K554" s="389"/>
      <c r="L554" s="389"/>
      <c r="M554" s="389"/>
      <c r="N554" s="389"/>
      <c r="O554" s="389"/>
      <c r="P554" s="389"/>
    </row>
    <row r="555" spans="5:16">
      <c r="E555" s="389"/>
      <c r="F555" s="389"/>
      <c r="G555" s="389"/>
      <c r="H555" s="389"/>
      <c r="I555" s="389"/>
      <c r="J555" s="389"/>
      <c r="K555" s="389"/>
      <c r="L555" s="389"/>
      <c r="M555" s="389"/>
      <c r="N555" s="389"/>
      <c r="O555" s="389"/>
      <c r="P555" s="389"/>
    </row>
    <row r="556" spans="5:16">
      <c r="E556" s="389"/>
      <c r="F556" s="389"/>
      <c r="G556" s="389"/>
      <c r="H556" s="389"/>
      <c r="I556" s="389"/>
      <c r="J556" s="389"/>
      <c r="K556" s="389"/>
      <c r="L556" s="389"/>
      <c r="M556" s="389"/>
      <c r="N556" s="389"/>
      <c r="O556" s="389"/>
      <c r="P556" s="389"/>
    </row>
    <row r="557" spans="5:16">
      <c r="E557" s="389"/>
      <c r="F557" s="389"/>
      <c r="G557" s="389"/>
      <c r="H557" s="389"/>
      <c r="I557" s="389"/>
      <c r="J557" s="389"/>
      <c r="K557" s="389"/>
      <c r="L557" s="389"/>
      <c r="M557" s="389"/>
      <c r="N557" s="389"/>
      <c r="O557" s="389"/>
      <c r="P557" s="389"/>
    </row>
    <row r="558" spans="5:16">
      <c r="E558" s="389"/>
      <c r="F558" s="389"/>
      <c r="G558" s="389"/>
      <c r="H558" s="389"/>
      <c r="I558" s="389"/>
      <c r="J558" s="389"/>
      <c r="K558" s="389"/>
      <c r="L558" s="389"/>
      <c r="M558" s="389"/>
      <c r="N558" s="389"/>
      <c r="O558" s="389"/>
      <c r="P558" s="389"/>
    </row>
    <row r="559" spans="5:16">
      <c r="E559" s="389"/>
      <c r="F559" s="389"/>
      <c r="G559" s="389"/>
      <c r="H559" s="389"/>
      <c r="I559" s="389"/>
      <c r="J559" s="389"/>
      <c r="K559" s="389"/>
      <c r="L559" s="389"/>
      <c r="M559" s="389"/>
      <c r="N559" s="389"/>
      <c r="O559" s="389"/>
      <c r="P559" s="389"/>
    </row>
    <row r="560" spans="5:16">
      <c r="E560" s="389"/>
      <c r="F560" s="389"/>
      <c r="G560" s="389"/>
      <c r="H560" s="389"/>
      <c r="I560" s="389"/>
      <c r="J560" s="389"/>
      <c r="K560" s="389"/>
      <c r="L560" s="389"/>
      <c r="M560" s="389"/>
      <c r="N560" s="389"/>
      <c r="O560" s="389"/>
      <c r="P560" s="389"/>
    </row>
    <row r="561" spans="5:16">
      <c r="E561" s="389"/>
      <c r="F561" s="389"/>
      <c r="G561" s="389"/>
      <c r="H561" s="389"/>
      <c r="I561" s="389"/>
      <c r="J561" s="389"/>
      <c r="K561" s="389"/>
      <c r="L561" s="389"/>
      <c r="M561" s="389"/>
      <c r="N561" s="389"/>
      <c r="O561" s="389"/>
      <c r="P561" s="389"/>
    </row>
    <row r="562" spans="5:16">
      <c r="E562" s="389"/>
      <c r="F562" s="389"/>
      <c r="G562" s="389"/>
      <c r="H562" s="389"/>
      <c r="I562" s="389"/>
      <c r="J562" s="389"/>
      <c r="K562" s="389"/>
      <c r="L562" s="389"/>
      <c r="M562" s="389"/>
      <c r="N562" s="389"/>
      <c r="O562" s="389"/>
      <c r="P562" s="389"/>
    </row>
    <row r="563" spans="5:16">
      <c r="E563" s="389"/>
      <c r="F563" s="389"/>
      <c r="G563" s="389"/>
      <c r="H563" s="389"/>
      <c r="I563" s="389"/>
      <c r="J563" s="389"/>
      <c r="K563" s="389"/>
      <c r="L563" s="389"/>
      <c r="M563" s="389"/>
      <c r="N563" s="389"/>
      <c r="O563" s="389"/>
      <c r="P563" s="389"/>
    </row>
    <row r="564" spans="5:16">
      <c r="E564" s="389"/>
      <c r="F564" s="389"/>
      <c r="G564" s="389"/>
      <c r="H564" s="389"/>
      <c r="I564" s="389"/>
      <c r="J564" s="389"/>
      <c r="K564" s="389"/>
      <c r="L564" s="389"/>
      <c r="M564" s="389"/>
      <c r="N564" s="389"/>
      <c r="O564" s="389"/>
      <c r="P564" s="389"/>
    </row>
    <row r="565" spans="5:16">
      <c r="E565" s="389"/>
      <c r="F565" s="389"/>
      <c r="G565" s="389"/>
      <c r="H565" s="389"/>
      <c r="I565" s="389"/>
      <c r="J565" s="389"/>
      <c r="K565" s="389"/>
      <c r="L565" s="389"/>
      <c r="M565" s="389"/>
      <c r="N565" s="389"/>
      <c r="O565" s="389"/>
      <c r="P565" s="389"/>
    </row>
    <row r="566" spans="5:16">
      <c r="E566" s="389"/>
      <c r="F566" s="389"/>
      <c r="G566" s="389"/>
      <c r="H566" s="389"/>
      <c r="I566" s="389"/>
      <c r="J566" s="389"/>
      <c r="K566" s="389"/>
      <c r="L566" s="389"/>
      <c r="M566" s="389"/>
      <c r="N566" s="389"/>
      <c r="O566" s="389"/>
      <c r="P566" s="389"/>
    </row>
    <row r="567" spans="5:16">
      <c r="E567" s="389"/>
      <c r="F567" s="389"/>
      <c r="G567" s="389"/>
      <c r="H567" s="389"/>
      <c r="I567" s="389"/>
      <c r="J567" s="389"/>
      <c r="K567" s="389"/>
      <c r="L567" s="389"/>
      <c r="M567" s="389"/>
      <c r="N567" s="389"/>
      <c r="O567" s="389"/>
      <c r="P567" s="389"/>
    </row>
    <row r="568" spans="5:16">
      <c r="E568" s="389"/>
      <c r="F568" s="389"/>
      <c r="G568" s="389"/>
      <c r="H568" s="389"/>
      <c r="I568" s="389"/>
      <c r="J568" s="389"/>
      <c r="K568" s="389"/>
      <c r="L568" s="389"/>
      <c r="M568" s="389"/>
      <c r="N568" s="389"/>
      <c r="O568" s="389"/>
      <c r="P568" s="389"/>
    </row>
    <row r="569" spans="5:16">
      <c r="E569" s="389"/>
      <c r="F569" s="389"/>
      <c r="G569" s="389"/>
      <c r="H569" s="389"/>
      <c r="I569" s="389"/>
      <c r="J569" s="389"/>
      <c r="K569" s="389"/>
      <c r="L569" s="389"/>
      <c r="M569" s="389"/>
      <c r="N569" s="389"/>
      <c r="O569" s="389"/>
      <c r="P569" s="389"/>
    </row>
    <row r="570" spans="5:16">
      <c r="E570" s="389"/>
      <c r="F570" s="389"/>
      <c r="G570" s="389"/>
      <c r="H570" s="389"/>
      <c r="I570" s="389"/>
      <c r="J570" s="389"/>
      <c r="K570" s="389"/>
      <c r="L570" s="389"/>
      <c r="M570" s="389"/>
      <c r="N570" s="389"/>
      <c r="O570" s="389"/>
      <c r="P570" s="389"/>
    </row>
    <row r="571" spans="5:16">
      <c r="E571" s="389"/>
      <c r="F571" s="389"/>
      <c r="G571" s="389"/>
      <c r="H571" s="389"/>
      <c r="I571" s="389"/>
      <c r="J571" s="389"/>
      <c r="K571" s="389"/>
      <c r="L571" s="389"/>
      <c r="M571" s="389"/>
      <c r="N571" s="389"/>
      <c r="O571" s="389"/>
      <c r="P571" s="389"/>
    </row>
    <row r="572" spans="5:16">
      <c r="E572" s="389"/>
      <c r="F572" s="389"/>
      <c r="G572" s="389"/>
      <c r="H572" s="389"/>
      <c r="I572" s="389"/>
      <c r="J572" s="389"/>
      <c r="K572" s="389"/>
      <c r="L572" s="389"/>
      <c r="M572" s="389"/>
      <c r="N572" s="389"/>
      <c r="O572" s="389"/>
      <c r="P572" s="389"/>
    </row>
    <row r="573" spans="5:16">
      <c r="E573" s="389"/>
      <c r="F573" s="389"/>
      <c r="G573" s="389"/>
      <c r="H573" s="389"/>
      <c r="I573" s="389"/>
      <c r="J573" s="389"/>
      <c r="K573" s="389"/>
      <c r="L573" s="389"/>
      <c r="M573" s="389"/>
      <c r="N573" s="389"/>
      <c r="O573" s="389"/>
      <c r="P573" s="389"/>
    </row>
    <row r="574" spans="5:16">
      <c r="E574" s="389"/>
      <c r="F574" s="389"/>
      <c r="G574" s="389"/>
      <c r="H574" s="389"/>
      <c r="I574" s="389"/>
      <c r="J574" s="389"/>
      <c r="K574" s="389"/>
      <c r="L574" s="389"/>
      <c r="M574" s="389"/>
      <c r="N574" s="389"/>
      <c r="O574" s="389"/>
      <c r="P574" s="389"/>
    </row>
    <row r="575" spans="5:16">
      <c r="E575" s="389"/>
      <c r="F575" s="389"/>
      <c r="G575" s="389"/>
      <c r="H575" s="389"/>
      <c r="I575" s="389"/>
      <c r="J575" s="389"/>
      <c r="K575" s="389"/>
      <c r="L575" s="389"/>
      <c r="M575" s="389"/>
      <c r="N575" s="389"/>
      <c r="O575" s="389"/>
      <c r="P575" s="389"/>
    </row>
    <row r="576" spans="5:16">
      <c r="E576" s="389"/>
      <c r="F576" s="389"/>
      <c r="G576" s="389"/>
      <c r="H576" s="389"/>
      <c r="I576" s="389"/>
      <c r="J576" s="389"/>
      <c r="K576" s="389"/>
      <c r="L576" s="389"/>
      <c r="M576" s="389"/>
      <c r="N576" s="389"/>
      <c r="O576" s="389"/>
      <c r="P576" s="389"/>
    </row>
    <row r="577" spans="5:16">
      <c r="E577" s="389"/>
      <c r="F577" s="389"/>
      <c r="G577" s="389"/>
      <c r="H577" s="389"/>
      <c r="I577" s="389"/>
      <c r="J577" s="389"/>
      <c r="K577" s="389"/>
      <c r="L577" s="389"/>
      <c r="M577" s="389"/>
      <c r="N577" s="389"/>
      <c r="O577" s="389"/>
      <c r="P577" s="389"/>
    </row>
    <row r="578" spans="5:16">
      <c r="E578" s="389"/>
      <c r="F578" s="389"/>
      <c r="G578" s="389"/>
      <c r="H578" s="389"/>
      <c r="I578" s="389"/>
      <c r="J578" s="389"/>
      <c r="K578" s="389"/>
      <c r="L578" s="389"/>
      <c r="M578" s="389"/>
      <c r="N578" s="389"/>
      <c r="O578" s="389"/>
      <c r="P578" s="389"/>
    </row>
    <row r="579" spans="5:16">
      <c r="E579" s="389"/>
      <c r="F579" s="389"/>
      <c r="G579" s="389"/>
      <c r="H579" s="389"/>
      <c r="I579" s="389"/>
      <c r="J579" s="389"/>
      <c r="K579" s="389"/>
      <c r="L579" s="389"/>
      <c r="M579" s="389"/>
      <c r="N579" s="389"/>
      <c r="O579" s="389"/>
      <c r="P579" s="389"/>
    </row>
    <row r="580" spans="5:16">
      <c r="E580" s="389"/>
      <c r="F580" s="389"/>
      <c r="G580" s="389"/>
      <c r="H580" s="389"/>
      <c r="I580" s="389"/>
      <c r="J580" s="389"/>
      <c r="K580" s="389"/>
      <c r="L580" s="389"/>
      <c r="M580" s="389"/>
      <c r="N580" s="389"/>
      <c r="O580" s="389"/>
      <c r="P580" s="389"/>
    </row>
    <row r="581" spans="5:16">
      <c r="E581" s="389"/>
      <c r="F581" s="389"/>
      <c r="G581" s="389"/>
      <c r="H581" s="389"/>
      <c r="I581" s="389"/>
      <c r="J581" s="389"/>
      <c r="K581" s="389"/>
      <c r="L581" s="389"/>
      <c r="M581" s="389"/>
      <c r="N581" s="389"/>
      <c r="O581" s="389"/>
      <c r="P581" s="389"/>
    </row>
    <row r="582" spans="5:16">
      <c r="E582" s="389"/>
      <c r="F582" s="389"/>
      <c r="G582" s="389"/>
      <c r="H582" s="389"/>
      <c r="I582" s="389"/>
      <c r="J582" s="389"/>
      <c r="K582" s="389"/>
      <c r="L582" s="389"/>
      <c r="M582" s="389"/>
      <c r="N582" s="389"/>
      <c r="O582" s="389"/>
      <c r="P582" s="389"/>
    </row>
    <row r="583" spans="5:16">
      <c r="E583" s="389"/>
      <c r="F583" s="389"/>
      <c r="G583" s="389"/>
      <c r="H583" s="389"/>
      <c r="I583" s="389"/>
      <c r="J583" s="389"/>
      <c r="K583" s="389"/>
      <c r="L583" s="389"/>
      <c r="M583" s="389"/>
      <c r="N583" s="389"/>
      <c r="O583" s="389"/>
      <c r="P583" s="389"/>
    </row>
    <row r="584" spans="5:16">
      <c r="E584" s="389"/>
      <c r="F584" s="389"/>
      <c r="G584" s="389"/>
      <c r="H584" s="389"/>
      <c r="I584" s="389"/>
      <c r="J584" s="389"/>
      <c r="K584" s="389"/>
      <c r="L584" s="389"/>
      <c r="M584" s="389"/>
      <c r="N584" s="389"/>
      <c r="O584" s="389"/>
      <c r="P584" s="389"/>
    </row>
    <row r="585" spans="5:16">
      <c r="E585" s="389"/>
      <c r="F585" s="389"/>
      <c r="G585" s="389"/>
      <c r="H585" s="389"/>
      <c r="I585" s="389"/>
      <c r="J585" s="389"/>
      <c r="K585" s="389"/>
      <c r="L585" s="389"/>
      <c r="M585" s="389"/>
      <c r="N585" s="389"/>
      <c r="O585" s="389"/>
      <c r="P585" s="389"/>
    </row>
    <row r="586" spans="5:16">
      <c r="E586" s="389"/>
      <c r="F586" s="389"/>
      <c r="G586" s="389"/>
      <c r="H586" s="389"/>
      <c r="I586" s="389"/>
      <c r="J586" s="389"/>
      <c r="K586" s="389"/>
      <c r="L586" s="389"/>
      <c r="M586" s="389"/>
      <c r="N586" s="389"/>
      <c r="O586" s="389"/>
      <c r="P586" s="389"/>
    </row>
    <row r="587" spans="5:16">
      <c r="E587" s="389"/>
      <c r="F587" s="389"/>
      <c r="G587" s="389"/>
      <c r="H587" s="389"/>
      <c r="I587" s="389"/>
      <c r="J587" s="389"/>
      <c r="K587" s="389"/>
      <c r="L587" s="389"/>
      <c r="M587" s="389"/>
      <c r="N587" s="389"/>
      <c r="O587" s="389"/>
      <c r="P587" s="389"/>
    </row>
    <row r="588" spans="5:16">
      <c r="E588" s="389"/>
      <c r="F588" s="389"/>
      <c r="G588" s="389"/>
      <c r="H588" s="389"/>
      <c r="I588" s="389"/>
      <c r="J588" s="389"/>
      <c r="K588" s="389"/>
      <c r="L588" s="389"/>
      <c r="M588" s="389"/>
      <c r="N588" s="389"/>
      <c r="O588" s="389"/>
      <c r="P588" s="389"/>
    </row>
    <row r="589" spans="5:16">
      <c r="E589" s="389"/>
      <c r="F589" s="389"/>
      <c r="G589" s="389"/>
      <c r="H589" s="389"/>
      <c r="I589" s="389"/>
      <c r="J589" s="389"/>
      <c r="K589" s="389"/>
      <c r="L589" s="389"/>
      <c r="M589" s="389"/>
      <c r="N589" s="389"/>
      <c r="O589" s="389"/>
      <c r="P589" s="389"/>
    </row>
    <row r="590" spans="5:16">
      <c r="E590" s="389"/>
      <c r="F590" s="389"/>
      <c r="G590" s="389"/>
      <c r="H590" s="389"/>
      <c r="I590" s="389"/>
      <c r="J590" s="389"/>
      <c r="K590" s="389"/>
      <c r="L590" s="389"/>
      <c r="M590" s="389"/>
      <c r="N590" s="389"/>
      <c r="O590" s="389"/>
      <c r="P590" s="389"/>
    </row>
    <row r="591" spans="5:16">
      <c r="E591" s="389"/>
      <c r="F591" s="389"/>
      <c r="G591" s="389"/>
      <c r="H591" s="389"/>
      <c r="I591" s="389"/>
      <c r="J591" s="389"/>
      <c r="K591" s="389"/>
      <c r="L591" s="389"/>
      <c r="M591" s="389"/>
      <c r="N591" s="389"/>
      <c r="O591" s="389"/>
      <c r="P591" s="389"/>
    </row>
    <row r="592" spans="5:16">
      <c r="E592" s="389"/>
      <c r="F592" s="389"/>
      <c r="G592" s="389"/>
      <c r="H592" s="389"/>
      <c r="I592" s="389"/>
      <c r="J592" s="389"/>
      <c r="K592" s="389"/>
      <c r="L592" s="389"/>
      <c r="M592" s="389"/>
      <c r="N592" s="389"/>
      <c r="O592" s="389"/>
      <c r="P592" s="389"/>
    </row>
    <row r="593" spans="5:16">
      <c r="E593" s="389"/>
      <c r="F593" s="389"/>
      <c r="G593" s="389"/>
      <c r="H593" s="389"/>
      <c r="I593" s="389"/>
      <c r="J593" s="389"/>
      <c r="K593" s="389"/>
      <c r="L593" s="389"/>
      <c r="M593" s="389"/>
      <c r="N593" s="389"/>
      <c r="O593" s="389"/>
      <c r="P593" s="389"/>
    </row>
    <row r="594" spans="5:16">
      <c r="E594" s="389"/>
      <c r="F594" s="389"/>
      <c r="G594" s="389"/>
      <c r="H594" s="389"/>
      <c r="I594" s="389"/>
      <c r="J594" s="389"/>
      <c r="K594" s="389"/>
      <c r="L594" s="389"/>
      <c r="M594" s="389"/>
      <c r="N594" s="389"/>
      <c r="O594" s="389"/>
      <c r="P594" s="389"/>
    </row>
    <row r="595" spans="5:16">
      <c r="E595" s="389"/>
      <c r="F595" s="389"/>
      <c r="G595" s="389"/>
      <c r="H595" s="389"/>
      <c r="I595" s="389"/>
      <c r="J595" s="389"/>
      <c r="K595" s="389"/>
      <c r="L595" s="389"/>
      <c r="M595" s="389"/>
      <c r="N595" s="389"/>
      <c r="O595" s="389"/>
      <c r="P595" s="389"/>
    </row>
    <row r="596" spans="5:16">
      <c r="E596" s="389"/>
      <c r="F596" s="389"/>
      <c r="G596" s="389"/>
      <c r="H596" s="389"/>
      <c r="I596" s="389"/>
      <c r="J596" s="389"/>
      <c r="K596" s="389"/>
      <c r="L596" s="389"/>
      <c r="M596" s="389"/>
      <c r="N596" s="389"/>
      <c r="O596" s="389"/>
      <c r="P596" s="389"/>
    </row>
    <row r="597" spans="5:16">
      <c r="E597" s="389"/>
      <c r="F597" s="389"/>
      <c r="G597" s="389"/>
      <c r="H597" s="389"/>
      <c r="I597" s="389"/>
      <c r="J597" s="389"/>
      <c r="K597" s="389"/>
      <c r="L597" s="389"/>
      <c r="M597" s="389"/>
      <c r="N597" s="389"/>
      <c r="O597" s="389"/>
      <c r="P597" s="389"/>
    </row>
    <row r="598" spans="5:16">
      <c r="E598" s="389"/>
      <c r="F598" s="389"/>
      <c r="G598" s="389"/>
      <c r="H598" s="389"/>
      <c r="I598" s="389"/>
      <c r="J598" s="389"/>
      <c r="K598" s="389"/>
      <c r="L598" s="389"/>
      <c r="M598" s="389"/>
      <c r="N598" s="389"/>
      <c r="O598" s="389"/>
      <c r="P598" s="389"/>
    </row>
    <row r="599" spans="5:16">
      <c r="E599" s="389"/>
      <c r="F599" s="389"/>
      <c r="G599" s="389"/>
      <c r="H599" s="389"/>
      <c r="I599" s="389"/>
      <c r="J599" s="389"/>
      <c r="K599" s="389"/>
      <c r="L599" s="389"/>
      <c r="M599" s="389"/>
      <c r="N599" s="389"/>
      <c r="O599" s="389"/>
      <c r="P599" s="389"/>
    </row>
    <row r="600" spans="5:16">
      <c r="E600" s="389"/>
      <c r="F600" s="389"/>
      <c r="G600" s="389"/>
      <c r="H600" s="389"/>
      <c r="I600" s="389"/>
      <c r="J600" s="389"/>
      <c r="K600" s="389"/>
      <c r="L600" s="389"/>
      <c r="M600" s="389"/>
      <c r="N600" s="389"/>
      <c r="O600" s="389"/>
      <c r="P600" s="389"/>
    </row>
    <row r="601" spans="5:16">
      <c r="E601" s="389"/>
      <c r="F601" s="389"/>
      <c r="G601" s="389"/>
      <c r="H601" s="389"/>
      <c r="I601" s="389"/>
      <c r="J601" s="389"/>
      <c r="K601" s="389"/>
      <c r="L601" s="389"/>
      <c r="M601" s="389"/>
      <c r="N601" s="389"/>
      <c r="O601" s="389"/>
      <c r="P601" s="389"/>
    </row>
    <row r="602" spans="5:16">
      <c r="E602" s="389"/>
      <c r="F602" s="389"/>
      <c r="G602" s="389"/>
      <c r="H602" s="389"/>
      <c r="I602" s="389"/>
      <c r="J602" s="389"/>
      <c r="K602" s="389"/>
      <c r="L602" s="389"/>
      <c r="M602" s="389"/>
      <c r="N602" s="389"/>
      <c r="O602" s="389"/>
      <c r="P602" s="389"/>
    </row>
    <row r="603" spans="5:16">
      <c r="E603" s="389"/>
      <c r="F603" s="389"/>
      <c r="G603" s="389"/>
      <c r="H603" s="389"/>
      <c r="I603" s="389"/>
      <c r="J603" s="389"/>
      <c r="K603" s="389"/>
      <c r="L603" s="389"/>
      <c r="M603" s="389"/>
      <c r="N603" s="389"/>
      <c r="O603" s="389"/>
      <c r="P603" s="389"/>
    </row>
    <row r="604" spans="5:16">
      <c r="E604" s="389"/>
      <c r="F604" s="389"/>
      <c r="G604" s="389"/>
      <c r="H604" s="389"/>
      <c r="I604" s="389"/>
      <c r="J604" s="389"/>
      <c r="K604" s="389"/>
      <c r="L604" s="389"/>
      <c r="M604" s="389"/>
      <c r="N604" s="389"/>
      <c r="O604" s="389"/>
      <c r="P604" s="389"/>
    </row>
    <row r="605" spans="5:16">
      <c r="E605" s="389"/>
      <c r="F605" s="389"/>
      <c r="G605" s="389"/>
      <c r="H605" s="389"/>
      <c r="I605" s="389"/>
      <c r="J605" s="389"/>
      <c r="K605" s="389"/>
      <c r="L605" s="389"/>
      <c r="M605" s="389"/>
      <c r="N605" s="389"/>
      <c r="O605" s="389"/>
      <c r="P605" s="389"/>
    </row>
    <row r="606" spans="5:16">
      <c r="E606" s="389"/>
      <c r="F606" s="389"/>
      <c r="G606" s="389"/>
      <c r="H606" s="389"/>
      <c r="I606" s="389"/>
      <c r="J606" s="389"/>
      <c r="K606" s="389"/>
      <c r="L606" s="389"/>
      <c r="M606" s="389"/>
      <c r="N606" s="389"/>
      <c r="O606" s="389"/>
      <c r="P606" s="389"/>
    </row>
    <row r="607" spans="5:16">
      <c r="E607" s="389"/>
      <c r="F607" s="389"/>
      <c r="G607" s="389"/>
      <c r="H607" s="389"/>
      <c r="I607" s="389"/>
      <c r="J607" s="389"/>
      <c r="K607" s="389"/>
      <c r="L607" s="389"/>
      <c r="M607" s="389"/>
      <c r="N607" s="389"/>
      <c r="O607" s="389"/>
      <c r="P607" s="389"/>
    </row>
    <row r="608" spans="5:16">
      <c r="E608" s="389"/>
      <c r="F608" s="389"/>
      <c r="G608" s="389"/>
      <c r="H608" s="389"/>
      <c r="I608" s="389"/>
      <c r="J608" s="389"/>
      <c r="K608" s="389"/>
      <c r="L608" s="389"/>
      <c r="M608" s="389"/>
      <c r="N608" s="389"/>
      <c r="O608" s="389"/>
      <c r="P608" s="389"/>
    </row>
    <row r="609" spans="5:16">
      <c r="E609" s="389"/>
      <c r="F609" s="389"/>
      <c r="G609" s="389"/>
      <c r="H609" s="389"/>
      <c r="I609" s="389"/>
      <c r="J609" s="389"/>
      <c r="K609" s="389"/>
      <c r="L609" s="389"/>
      <c r="M609" s="389"/>
      <c r="N609" s="389"/>
      <c r="O609" s="389"/>
      <c r="P609" s="389"/>
    </row>
    <row r="610" spans="5:16">
      <c r="E610" s="389"/>
      <c r="F610" s="389"/>
      <c r="G610" s="389"/>
      <c r="H610" s="389"/>
      <c r="I610" s="389"/>
      <c r="J610" s="389"/>
      <c r="K610" s="389"/>
      <c r="L610" s="389"/>
      <c r="M610" s="389"/>
      <c r="N610" s="389"/>
      <c r="O610" s="389"/>
      <c r="P610" s="389"/>
    </row>
    <row r="611" spans="5:16">
      <c r="E611" s="389"/>
      <c r="F611" s="389"/>
      <c r="G611" s="389"/>
      <c r="H611" s="389"/>
      <c r="I611" s="389"/>
      <c r="J611" s="389"/>
      <c r="K611" s="389"/>
      <c r="L611" s="389"/>
      <c r="M611" s="389"/>
      <c r="N611" s="389"/>
      <c r="O611" s="389"/>
      <c r="P611" s="389"/>
    </row>
    <row r="612" spans="5:16">
      <c r="E612" s="389"/>
      <c r="F612" s="389"/>
      <c r="G612" s="389"/>
      <c r="H612" s="389"/>
      <c r="I612" s="389"/>
      <c r="J612" s="389"/>
      <c r="K612" s="389"/>
      <c r="L612" s="389"/>
      <c r="M612" s="389"/>
      <c r="N612" s="389"/>
      <c r="O612" s="389"/>
      <c r="P612" s="389"/>
    </row>
    <row r="613" spans="5:16">
      <c r="E613" s="389"/>
      <c r="F613" s="389"/>
      <c r="G613" s="389"/>
      <c r="H613" s="389"/>
      <c r="I613" s="389"/>
      <c r="J613" s="389"/>
      <c r="K613" s="389"/>
      <c r="L613" s="389"/>
      <c r="M613" s="389"/>
      <c r="N613" s="389"/>
      <c r="O613" s="389"/>
      <c r="P613" s="389"/>
    </row>
    <row r="614" spans="5:16">
      <c r="E614" s="389"/>
      <c r="F614" s="389"/>
      <c r="G614" s="389"/>
      <c r="H614" s="389"/>
      <c r="I614" s="389"/>
      <c r="J614" s="389"/>
      <c r="K614" s="389"/>
      <c r="L614" s="389"/>
      <c r="M614" s="389"/>
      <c r="N614" s="389"/>
      <c r="O614" s="389"/>
      <c r="P614" s="389"/>
    </row>
    <row r="615" spans="5:16">
      <c r="E615" s="389"/>
      <c r="F615" s="389"/>
      <c r="G615" s="389"/>
      <c r="H615" s="389"/>
      <c r="I615" s="389"/>
      <c r="J615" s="389"/>
      <c r="K615" s="389"/>
      <c r="L615" s="389"/>
      <c r="M615" s="389"/>
      <c r="N615" s="389"/>
      <c r="O615" s="389"/>
      <c r="P615" s="389"/>
    </row>
    <row r="616" spans="5:16">
      <c r="E616" s="389"/>
      <c r="F616" s="389"/>
      <c r="G616" s="389"/>
      <c r="H616" s="389"/>
      <c r="I616" s="389"/>
      <c r="J616" s="389"/>
      <c r="K616" s="389"/>
      <c r="L616" s="389"/>
      <c r="M616" s="389"/>
      <c r="N616" s="389"/>
      <c r="O616" s="389"/>
      <c r="P616" s="389"/>
    </row>
    <row r="617" spans="5:16">
      <c r="E617" s="389"/>
      <c r="F617" s="389"/>
      <c r="G617" s="389"/>
      <c r="H617" s="389"/>
      <c r="I617" s="389"/>
      <c r="J617" s="389"/>
      <c r="K617" s="389"/>
      <c r="L617" s="389"/>
      <c r="M617" s="389"/>
      <c r="N617" s="389"/>
      <c r="O617" s="389"/>
      <c r="P617" s="389"/>
    </row>
    <row r="618" spans="5:16">
      <c r="E618" s="389"/>
      <c r="F618" s="389"/>
      <c r="G618" s="389"/>
      <c r="H618" s="389"/>
      <c r="I618" s="389"/>
      <c r="J618" s="389"/>
      <c r="K618" s="389"/>
      <c r="L618" s="389"/>
      <c r="M618" s="389"/>
      <c r="N618" s="389"/>
      <c r="O618" s="389"/>
      <c r="P618" s="389"/>
    </row>
    <row r="619" spans="5:16">
      <c r="E619" s="389"/>
      <c r="F619" s="389"/>
      <c r="G619" s="389"/>
      <c r="H619" s="389"/>
      <c r="I619" s="389"/>
      <c r="J619" s="389"/>
      <c r="K619" s="389"/>
      <c r="L619" s="389"/>
      <c r="M619" s="389"/>
      <c r="N619" s="389"/>
      <c r="O619" s="389"/>
      <c r="P619" s="389"/>
    </row>
    <row r="620" spans="5:16">
      <c r="E620" s="389"/>
      <c r="F620" s="389"/>
      <c r="G620" s="389"/>
      <c r="H620" s="389"/>
      <c r="I620" s="389"/>
      <c r="J620" s="389"/>
      <c r="K620" s="389"/>
      <c r="L620" s="389"/>
      <c r="M620" s="389"/>
      <c r="N620" s="389"/>
      <c r="O620" s="389"/>
      <c r="P620" s="389"/>
    </row>
    <row r="621" spans="5:16">
      <c r="E621" s="389"/>
      <c r="F621" s="389"/>
      <c r="G621" s="389"/>
      <c r="H621" s="389"/>
      <c r="I621" s="389"/>
      <c r="J621" s="389"/>
      <c r="K621" s="389"/>
      <c r="L621" s="389"/>
      <c r="M621" s="389"/>
      <c r="N621" s="389"/>
      <c r="O621" s="389"/>
      <c r="P621" s="389"/>
    </row>
    <row r="622" spans="5:16">
      <c r="E622" s="389"/>
      <c r="F622" s="389"/>
      <c r="G622" s="389"/>
      <c r="H622" s="389"/>
      <c r="I622" s="389"/>
      <c r="J622" s="389"/>
      <c r="K622" s="389"/>
      <c r="L622" s="389"/>
      <c r="M622" s="389"/>
      <c r="N622" s="389"/>
      <c r="O622" s="389"/>
      <c r="P622" s="389"/>
    </row>
    <row r="623" spans="5:16">
      <c r="E623" s="389"/>
      <c r="F623" s="389"/>
      <c r="G623" s="389"/>
      <c r="H623" s="389"/>
      <c r="I623" s="389"/>
      <c r="J623" s="389"/>
      <c r="K623" s="389"/>
      <c r="L623" s="389"/>
      <c r="M623" s="389"/>
      <c r="N623" s="389"/>
      <c r="O623" s="389"/>
      <c r="P623" s="389"/>
    </row>
    <row r="624" spans="5:16">
      <c r="E624" s="389"/>
      <c r="F624" s="389"/>
      <c r="G624" s="389"/>
      <c r="H624" s="389"/>
      <c r="I624" s="389"/>
      <c r="J624" s="389"/>
      <c r="K624" s="389"/>
      <c r="L624" s="389"/>
      <c r="M624" s="389"/>
      <c r="N624" s="389"/>
      <c r="O624" s="389"/>
      <c r="P624" s="389"/>
    </row>
    <row r="625" spans="5:16">
      <c r="E625" s="389"/>
      <c r="F625" s="389"/>
      <c r="G625" s="389"/>
      <c r="H625" s="389"/>
      <c r="I625" s="389"/>
      <c r="J625" s="389"/>
      <c r="K625" s="389"/>
      <c r="L625" s="389"/>
      <c r="M625" s="389"/>
      <c r="N625" s="389"/>
      <c r="O625" s="389"/>
      <c r="P625" s="389"/>
    </row>
    <row r="626" spans="5:16">
      <c r="E626" s="389"/>
      <c r="F626" s="389"/>
      <c r="G626" s="389"/>
      <c r="H626" s="389"/>
      <c r="I626" s="389"/>
      <c r="J626" s="389"/>
      <c r="K626" s="389"/>
      <c r="L626" s="389"/>
      <c r="M626" s="389"/>
      <c r="N626" s="389"/>
      <c r="O626" s="389"/>
      <c r="P626" s="389"/>
    </row>
    <row r="627" spans="5:16">
      <c r="E627" s="389"/>
      <c r="F627" s="389"/>
      <c r="G627" s="389"/>
      <c r="H627" s="389"/>
      <c r="I627" s="389"/>
      <c r="J627" s="389"/>
      <c r="K627" s="389"/>
      <c r="L627" s="389"/>
      <c r="M627" s="389"/>
      <c r="N627" s="389"/>
      <c r="O627" s="389"/>
      <c r="P627" s="389"/>
    </row>
    <row r="628" spans="5:16">
      <c r="E628" s="389"/>
      <c r="F628" s="389"/>
      <c r="G628" s="389"/>
      <c r="H628" s="389"/>
      <c r="I628" s="389"/>
      <c r="J628" s="389"/>
      <c r="K628" s="389"/>
      <c r="L628" s="389"/>
      <c r="M628" s="389"/>
      <c r="N628" s="389"/>
      <c r="O628" s="389"/>
      <c r="P628" s="389"/>
    </row>
    <row r="629" spans="5:16">
      <c r="E629" s="389"/>
      <c r="F629" s="389"/>
      <c r="G629" s="389"/>
      <c r="H629" s="389"/>
      <c r="I629" s="389"/>
      <c r="J629" s="389"/>
      <c r="K629" s="389"/>
      <c r="L629" s="389"/>
      <c r="M629" s="389"/>
      <c r="N629" s="389"/>
      <c r="O629" s="389"/>
      <c r="P629" s="389"/>
    </row>
    <row r="630" spans="5:16">
      <c r="E630" s="389"/>
      <c r="F630" s="389"/>
      <c r="G630" s="389"/>
      <c r="H630" s="389"/>
      <c r="I630" s="389"/>
      <c r="J630" s="389"/>
      <c r="K630" s="389"/>
      <c r="L630" s="389"/>
      <c r="M630" s="389"/>
      <c r="N630" s="389"/>
      <c r="O630" s="389"/>
      <c r="P630" s="389"/>
    </row>
    <row r="631" spans="5:16">
      <c r="E631" s="389"/>
      <c r="F631" s="389"/>
      <c r="G631" s="389"/>
      <c r="H631" s="389"/>
      <c r="I631" s="389"/>
      <c r="J631" s="389"/>
      <c r="K631" s="389"/>
      <c r="L631" s="389"/>
      <c r="M631" s="389"/>
      <c r="N631" s="389"/>
      <c r="O631" s="389"/>
      <c r="P631" s="389"/>
    </row>
    <row r="632" spans="5:16">
      <c r="E632" s="389"/>
      <c r="F632" s="389"/>
      <c r="G632" s="389"/>
      <c r="H632" s="389"/>
      <c r="I632" s="389"/>
      <c r="J632" s="389"/>
      <c r="K632" s="389"/>
      <c r="L632" s="389"/>
      <c r="M632" s="389"/>
      <c r="N632" s="389"/>
      <c r="O632" s="389"/>
      <c r="P632" s="389"/>
    </row>
    <row r="633" spans="5:16">
      <c r="E633" s="389"/>
      <c r="F633" s="389"/>
      <c r="G633" s="389"/>
      <c r="H633" s="389"/>
      <c r="I633" s="389"/>
      <c r="J633" s="389"/>
      <c r="K633" s="389"/>
      <c r="L633" s="389"/>
      <c r="M633" s="389"/>
      <c r="N633" s="389"/>
      <c r="O633" s="389"/>
      <c r="P633" s="389"/>
    </row>
    <row r="634" spans="5:16">
      <c r="E634" s="389"/>
      <c r="F634" s="389"/>
      <c r="G634" s="389"/>
      <c r="H634" s="389"/>
      <c r="I634" s="389"/>
      <c r="J634" s="389"/>
      <c r="K634" s="389"/>
      <c r="L634" s="389"/>
      <c r="M634" s="389"/>
      <c r="N634" s="389"/>
      <c r="O634" s="389"/>
      <c r="P634" s="389"/>
    </row>
    <row r="635" spans="5:16">
      <c r="E635" s="389"/>
      <c r="F635" s="389"/>
      <c r="G635" s="389"/>
      <c r="H635" s="389"/>
      <c r="I635" s="389"/>
      <c r="J635" s="389"/>
      <c r="K635" s="389"/>
      <c r="L635" s="389"/>
      <c r="M635" s="389"/>
      <c r="N635" s="389"/>
      <c r="O635" s="389"/>
      <c r="P635" s="389"/>
    </row>
    <row r="636" spans="5:16">
      <c r="E636" s="389"/>
      <c r="F636" s="389"/>
      <c r="G636" s="389"/>
      <c r="H636" s="389"/>
      <c r="I636" s="389"/>
      <c r="J636" s="389"/>
      <c r="K636" s="389"/>
      <c r="L636" s="389"/>
      <c r="M636" s="389"/>
      <c r="N636" s="389"/>
      <c r="O636" s="389"/>
      <c r="P636" s="389"/>
    </row>
    <row r="637" spans="5:16">
      <c r="E637" s="389"/>
      <c r="F637" s="389"/>
      <c r="G637" s="389"/>
      <c r="H637" s="389"/>
      <c r="I637" s="389"/>
      <c r="J637" s="389"/>
      <c r="K637" s="389"/>
      <c r="L637" s="389"/>
      <c r="M637" s="389"/>
      <c r="N637" s="389"/>
      <c r="O637" s="389"/>
      <c r="P637" s="389"/>
    </row>
    <row r="638" spans="5:16">
      <c r="E638" s="389"/>
      <c r="F638" s="389"/>
      <c r="G638" s="389"/>
      <c r="H638" s="389"/>
      <c r="I638" s="389"/>
      <c r="J638" s="389"/>
      <c r="K638" s="389"/>
      <c r="L638" s="389"/>
      <c r="M638" s="389"/>
      <c r="N638" s="389"/>
      <c r="O638" s="389"/>
      <c r="P638" s="389"/>
    </row>
    <row r="639" spans="5:16">
      <c r="E639" s="389"/>
      <c r="F639" s="389"/>
      <c r="G639" s="389"/>
      <c r="H639" s="389"/>
      <c r="I639" s="389"/>
      <c r="J639" s="389"/>
      <c r="K639" s="389"/>
      <c r="L639" s="389"/>
      <c r="M639" s="389"/>
      <c r="N639" s="389"/>
      <c r="O639" s="389"/>
      <c r="P639" s="389"/>
    </row>
    <row r="640" spans="5:16">
      <c r="E640" s="389"/>
      <c r="F640" s="389"/>
      <c r="G640" s="389"/>
      <c r="H640" s="389"/>
      <c r="I640" s="389"/>
      <c r="J640" s="389"/>
      <c r="K640" s="389"/>
      <c r="L640" s="389"/>
      <c r="M640" s="389"/>
      <c r="N640" s="389"/>
      <c r="O640" s="389"/>
      <c r="P640" s="389"/>
    </row>
    <row r="641" spans="5:16">
      <c r="E641" s="389"/>
      <c r="F641" s="389"/>
      <c r="G641" s="389"/>
      <c r="H641" s="389"/>
      <c r="I641" s="389"/>
      <c r="J641" s="389"/>
      <c r="K641" s="389"/>
      <c r="L641" s="389"/>
      <c r="M641" s="389"/>
      <c r="N641" s="389"/>
      <c r="O641" s="389"/>
      <c r="P641" s="389"/>
    </row>
    <row r="642" spans="5:16">
      <c r="E642" s="389"/>
      <c r="F642" s="389"/>
      <c r="G642" s="389"/>
      <c r="H642" s="389"/>
      <c r="I642" s="389"/>
      <c r="J642" s="389"/>
      <c r="K642" s="389"/>
      <c r="L642" s="389"/>
      <c r="M642" s="389"/>
      <c r="N642" s="389"/>
      <c r="O642" s="389"/>
      <c r="P642" s="389"/>
    </row>
    <row r="643" spans="5:16">
      <c r="E643" s="389"/>
      <c r="F643" s="389"/>
      <c r="G643" s="389"/>
      <c r="H643" s="389"/>
      <c r="I643" s="389"/>
      <c r="J643" s="389"/>
      <c r="K643" s="389"/>
      <c r="L643" s="389"/>
      <c r="M643" s="389"/>
      <c r="N643" s="389"/>
      <c r="O643" s="389"/>
      <c r="P643" s="389"/>
    </row>
    <row r="644" spans="5:16">
      <c r="E644" s="389"/>
      <c r="F644" s="389"/>
      <c r="G644" s="389"/>
      <c r="H644" s="389"/>
      <c r="I644" s="389"/>
      <c r="J644" s="389"/>
      <c r="K644" s="389"/>
      <c r="L644" s="389"/>
      <c r="M644" s="389"/>
      <c r="N644" s="389"/>
      <c r="O644" s="389"/>
      <c r="P644" s="389"/>
    </row>
    <row r="645" spans="5:16">
      <c r="E645" s="389"/>
      <c r="F645" s="389"/>
      <c r="G645" s="389"/>
      <c r="H645" s="389"/>
      <c r="I645" s="389"/>
      <c r="J645" s="389"/>
      <c r="K645" s="389"/>
      <c r="L645" s="389"/>
      <c r="M645" s="389"/>
      <c r="N645" s="389"/>
      <c r="O645" s="389"/>
      <c r="P645" s="389"/>
    </row>
    <row r="646" spans="5:16">
      <c r="E646" s="389"/>
      <c r="F646" s="389"/>
      <c r="G646" s="389"/>
      <c r="H646" s="389"/>
      <c r="I646" s="389"/>
      <c r="J646" s="389"/>
      <c r="K646" s="389"/>
      <c r="L646" s="389"/>
      <c r="M646" s="389"/>
      <c r="N646" s="389"/>
      <c r="O646" s="389"/>
      <c r="P646" s="389"/>
    </row>
    <row r="647" spans="5:16">
      <c r="E647" s="389"/>
      <c r="F647" s="389"/>
      <c r="G647" s="389"/>
      <c r="H647" s="389"/>
      <c r="I647" s="389"/>
      <c r="J647" s="389"/>
      <c r="K647" s="389"/>
      <c r="L647" s="389"/>
      <c r="M647" s="389"/>
      <c r="N647" s="389"/>
      <c r="O647" s="389"/>
      <c r="P647" s="389"/>
    </row>
    <row r="648" spans="5:16">
      <c r="E648" s="389"/>
      <c r="F648" s="389"/>
      <c r="G648" s="389"/>
      <c r="H648" s="389"/>
      <c r="I648" s="389"/>
      <c r="J648" s="389"/>
      <c r="K648" s="389"/>
      <c r="L648" s="389"/>
      <c r="M648" s="389"/>
      <c r="N648" s="389"/>
      <c r="O648" s="389"/>
      <c r="P648" s="389"/>
    </row>
    <row r="649" spans="5:16">
      <c r="E649" s="389"/>
      <c r="F649" s="389"/>
      <c r="G649" s="389"/>
      <c r="H649" s="389"/>
      <c r="I649" s="389"/>
      <c r="J649" s="389"/>
      <c r="K649" s="389"/>
      <c r="L649" s="389"/>
      <c r="M649" s="389"/>
      <c r="N649" s="389"/>
      <c r="O649" s="389"/>
      <c r="P649" s="389"/>
    </row>
    <row r="650" spans="5:16">
      <c r="E650" s="389"/>
      <c r="F650" s="389"/>
      <c r="G650" s="389"/>
      <c r="H650" s="389"/>
      <c r="I650" s="389"/>
      <c r="J650" s="389"/>
      <c r="K650" s="389"/>
      <c r="L650" s="389"/>
      <c r="M650" s="389"/>
      <c r="N650" s="389"/>
      <c r="O650" s="389"/>
      <c r="P650" s="389"/>
    </row>
    <row r="651" spans="5:16">
      <c r="E651" s="389"/>
      <c r="F651" s="389"/>
      <c r="G651" s="389"/>
      <c r="H651" s="389"/>
      <c r="I651" s="389"/>
      <c r="J651" s="389"/>
      <c r="K651" s="389"/>
      <c r="L651" s="389"/>
      <c r="M651" s="389"/>
      <c r="N651" s="389"/>
      <c r="O651" s="389"/>
      <c r="P651" s="389"/>
    </row>
    <row r="652" spans="5:16">
      <c r="E652" s="389"/>
      <c r="F652" s="389"/>
      <c r="G652" s="389"/>
      <c r="H652" s="389"/>
      <c r="I652" s="389"/>
      <c r="J652" s="389"/>
      <c r="K652" s="389"/>
      <c r="L652" s="389"/>
      <c r="M652" s="389"/>
      <c r="N652" s="389"/>
      <c r="O652" s="389"/>
      <c r="P652" s="389"/>
    </row>
    <row r="653" spans="5:16">
      <c r="E653" s="389"/>
      <c r="F653" s="389"/>
      <c r="G653" s="389"/>
      <c r="H653" s="389"/>
      <c r="I653" s="389"/>
      <c r="J653" s="389"/>
      <c r="K653" s="389"/>
      <c r="L653" s="389"/>
      <c r="M653" s="389"/>
      <c r="N653" s="389"/>
      <c r="O653" s="389"/>
      <c r="P653" s="389"/>
    </row>
    <row r="654" spans="5:16">
      <c r="E654" s="389"/>
      <c r="F654" s="389"/>
      <c r="G654" s="389"/>
      <c r="H654" s="389"/>
      <c r="I654" s="389"/>
      <c r="J654" s="389"/>
      <c r="K654" s="389"/>
      <c r="L654" s="389"/>
      <c r="M654" s="389"/>
      <c r="N654" s="389"/>
      <c r="O654" s="389"/>
      <c r="P654" s="389"/>
    </row>
    <row r="655" spans="5:16">
      <c r="E655" s="389"/>
      <c r="F655" s="389"/>
      <c r="G655" s="389"/>
      <c r="H655" s="389"/>
      <c r="I655" s="389"/>
      <c r="J655" s="389"/>
      <c r="K655" s="389"/>
      <c r="L655" s="389"/>
      <c r="M655" s="389"/>
      <c r="N655" s="389"/>
      <c r="O655" s="389"/>
      <c r="P655" s="389"/>
    </row>
    <row r="656" spans="5:16">
      <c r="E656" s="389"/>
      <c r="F656" s="389"/>
      <c r="G656" s="389"/>
      <c r="H656" s="389"/>
      <c r="I656" s="389"/>
      <c r="J656" s="389"/>
      <c r="K656" s="389"/>
      <c r="L656" s="389"/>
      <c r="M656" s="389"/>
      <c r="N656" s="389"/>
      <c r="O656" s="389"/>
      <c r="P656" s="389"/>
    </row>
    <row r="657" spans="5:16">
      <c r="E657" s="389"/>
      <c r="F657" s="389"/>
      <c r="G657" s="389"/>
      <c r="H657" s="389"/>
      <c r="I657" s="389"/>
      <c r="J657" s="389"/>
      <c r="K657" s="389"/>
      <c r="L657" s="389"/>
      <c r="M657" s="389"/>
      <c r="N657" s="389"/>
      <c r="O657" s="389"/>
      <c r="P657" s="389"/>
    </row>
    <row r="658" spans="5:16">
      <c r="E658" s="389"/>
      <c r="F658" s="389"/>
      <c r="G658" s="389"/>
      <c r="H658" s="389"/>
      <c r="I658" s="389"/>
      <c r="J658" s="389"/>
      <c r="K658" s="389"/>
      <c r="L658" s="389"/>
      <c r="M658" s="389"/>
      <c r="N658" s="389"/>
      <c r="O658" s="389"/>
      <c r="P658" s="389"/>
    </row>
    <row r="659" spans="5:16">
      <c r="E659" s="389"/>
      <c r="F659" s="389"/>
      <c r="G659" s="389"/>
      <c r="H659" s="389"/>
      <c r="I659" s="389"/>
      <c r="J659" s="389"/>
      <c r="K659" s="389"/>
      <c r="L659" s="389"/>
      <c r="M659" s="389"/>
      <c r="N659" s="389"/>
      <c r="O659" s="389"/>
      <c r="P659" s="389"/>
    </row>
    <row r="660" spans="5:16">
      <c r="E660" s="389"/>
      <c r="F660" s="389"/>
      <c r="G660" s="389"/>
      <c r="H660" s="389"/>
      <c r="I660" s="389"/>
      <c r="J660" s="389"/>
      <c r="K660" s="389"/>
      <c r="L660" s="389"/>
      <c r="M660" s="389"/>
      <c r="N660" s="389"/>
      <c r="O660" s="389"/>
      <c r="P660" s="389"/>
    </row>
    <row r="661" spans="5:16">
      <c r="E661" s="389"/>
      <c r="F661" s="389"/>
      <c r="G661" s="389"/>
      <c r="H661" s="389"/>
      <c r="I661" s="389"/>
      <c r="J661" s="389"/>
      <c r="K661" s="389"/>
      <c r="L661" s="389"/>
      <c r="M661" s="389"/>
      <c r="N661" s="389"/>
      <c r="O661" s="389"/>
      <c r="P661" s="389"/>
    </row>
    <row r="662" spans="5:16">
      <c r="E662" s="389"/>
      <c r="F662" s="389"/>
      <c r="G662" s="389"/>
      <c r="H662" s="389"/>
      <c r="I662" s="389"/>
      <c r="J662" s="389"/>
      <c r="K662" s="389"/>
      <c r="L662" s="389"/>
      <c r="M662" s="389"/>
      <c r="N662" s="389"/>
      <c r="O662" s="389"/>
      <c r="P662" s="389"/>
    </row>
    <row r="663" spans="5:16">
      <c r="E663" s="389"/>
      <c r="F663" s="389"/>
      <c r="G663" s="389"/>
      <c r="H663" s="389"/>
      <c r="I663" s="389"/>
      <c r="J663" s="389"/>
      <c r="K663" s="389"/>
      <c r="L663" s="389"/>
      <c r="M663" s="389"/>
      <c r="N663" s="389"/>
      <c r="O663" s="389"/>
      <c r="P663" s="389"/>
    </row>
    <row r="664" spans="5:16">
      <c r="E664" s="389"/>
      <c r="F664" s="389"/>
      <c r="G664" s="389"/>
      <c r="H664" s="389"/>
      <c r="I664" s="389"/>
      <c r="J664" s="389"/>
      <c r="K664" s="389"/>
      <c r="L664" s="389"/>
      <c r="M664" s="389"/>
      <c r="N664" s="389"/>
      <c r="O664" s="389"/>
      <c r="P664" s="389"/>
    </row>
    <row r="665" spans="5:16">
      <c r="E665" s="389"/>
      <c r="F665" s="389"/>
      <c r="G665" s="389"/>
      <c r="H665" s="389"/>
      <c r="I665" s="389"/>
      <c r="J665" s="389"/>
      <c r="K665" s="389"/>
      <c r="L665" s="389"/>
      <c r="M665" s="389"/>
      <c r="N665" s="389"/>
      <c r="O665" s="389"/>
      <c r="P665" s="389"/>
    </row>
    <row r="666" spans="5:16">
      <c r="E666" s="389"/>
      <c r="F666" s="389"/>
      <c r="G666" s="389"/>
      <c r="H666" s="389"/>
      <c r="I666" s="389"/>
      <c r="J666" s="389"/>
      <c r="K666" s="389"/>
      <c r="L666" s="389"/>
      <c r="M666" s="389"/>
      <c r="N666" s="389"/>
      <c r="O666" s="389"/>
      <c r="P666" s="389"/>
    </row>
    <row r="667" spans="5:16">
      <c r="E667" s="389"/>
      <c r="F667" s="389"/>
      <c r="G667" s="389"/>
      <c r="H667" s="389"/>
      <c r="I667" s="389"/>
      <c r="J667" s="389"/>
      <c r="K667" s="389"/>
      <c r="L667" s="389"/>
      <c r="M667" s="389"/>
      <c r="N667" s="389"/>
      <c r="O667" s="389"/>
      <c r="P667" s="389"/>
    </row>
    <row r="668" spans="5:16">
      <c r="E668" s="389"/>
      <c r="F668" s="389"/>
      <c r="G668" s="389"/>
      <c r="H668" s="389"/>
      <c r="I668" s="389"/>
      <c r="J668" s="389"/>
      <c r="K668" s="389"/>
      <c r="L668" s="389"/>
      <c r="M668" s="389"/>
      <c r="N668" s="389"/>
      <c r="O668" s="389"/>
      <c r="P668" s="389"/>
    </row>
    <row r="669" spans="5:16">
      <c r="E669" s="389"/>
      <c r="F669" s="389"/>
      <c r="G669" s="389"/>
      <c r="H669" s="389"/>
      <c r="I669" s="389"/>
      <c r="J669" s="389"/>
      <c r="K669" s="389"/>
      <c r="L669" s="389"/>
      <c r="M669" s="389"/>
      <c r="N669" s="389"/>
      <c r="O669" s="389"/>
      <c r="P669" s="389"/>
    </row>
    <row r="670" spans="5:16">
      <c r="E670" s="389"/>
      <c r="F670" s="389"/>
      <c r="G670" s="389"/>
      <c r="H670" s="389"/>
      <c r="I670" s="389"/>
      <c r="J670" s="389"/>
      <c r="K670" s="389"/>
      <c r="L670" s="389"/>
      <c r="M670" s="389"/>
      <c r="N670" s="389"/>
      <c r="O670" s="389"/>
      <c r="P670" s="389"/>
    </row>
    <row r="671" spans="5:16">
      <c r="E671" s="389"/>
      <c r="F671" s="389"/>
      <c r="G671" s="389"/>
      <c r="H671" s="389"/>
      <c r="I671" s="389"/>
      <c r="J671" s="389"/>
      <c r="K671" s="389"/>
      <c r="L671" s="389"/>
      <c r="M671" s="389"/>
      <c r="N671" s="389"/>
      <c r="O671" s="389"/>
      <c r="P671" s="389"/>
    </row>
    <row r="672" spans="5:16">
      <c r="E672" s="389"/>
      <c r="F672" s="389"/>
      <c r="G672" s="389"/>
      <c r="H672" s="389"/>
      <c r="I672" s="389"/>
      <c r="J672" s="389"/>
      <c r="K672" s="389"/>
      <c r="L672" s="389"/>
      <c r="M672" s="389"/>
      <c r="N672" s="389"/>
      <c r="O672" s="389"/>
      <c r="P672" s="389"/>
    </row>
    <row r="673" spans="5:16">
      <c r="E673" s="389"/>
      <c r="F673" s="389"/>
      <c r="G673" s="389"/>
      <c r="H673" s="389"/>
      <c r="I673" s="389"/>
      <c r="J673" s="389"/>
      <c r="K673" s="389"/>
      <c r="L673" s="389"/>
      <c r="M673" s="389"/>
      <c r="N673" s="389"/>
      <c r="O673" s="389"/>
      <c r="P673" s="389"/>
    </row>
    <row r="674" spans="5:16">
      <c r="E674" s="389"/>
      <c r="F674" s="389"/>
      <c r="G674" s="389"/>
      <c r="H674" s="389"/>
      <c r="I674" s="389"/>
      <c r="J674" s="389"/>
      <c r="K674" s="389"/>
      <c r="L674" s="389"/>
      <c r="M674" s="389"/>
      <c r="N674" s="389"/>
      <c r="O674" s="389"/>
      <c r="P674" s="389"/>
    </row>
    <row r="675" spans="5:16">
      <c r="E675" s="389"/>
      <c r="F675" s="389"/>
      <c r="G675" s="389"/>
      <c r="H675" s="389"/>
      <c r="I675" s="389"/>
      <c r="J675" s="389"/>
      <c r="K675" s="389"/>
      <c r="L675" s="389"/>
      <c r="M675" s="389"/>
      <c r="N675" s="389"/>
      <c r="O675" s="389"/>
      <c r="P675" s="389"/>
    </row>
    <row r="676" spans="5:16">
      <c r="E676" s="389"/>
      <c r="F676" s="389"/>
      <c r="G676" s="389"/>
      <c r="H676" s="389"/>
      <c r="I676" s="389"/>
      <c r="J676" s="389"/>
      <c r="K676" s="389"/>
      <c r="L676" s="389"/>
      <c r="M676" s="389"/>
      <c r="N676" s="389"/>
      <c r="O676" s="389"/>
      <c r="P676" s="389"/>
    </row>
    <row r="677" spans="5:16">
      <c r="E677" s="389"/>
      <c r="F677" s="389"/>
      <c r="G677" s="389"/>
      <c r="H677" s="389"/>
      <c r="I677" s="389"/>
      <c r="J677" s="389"/>
      <c r="K677" s="389"/>
      <c r="L677" s="389"/>
      <c r="M677" s="389"/>
      <c r="N677" s="389"/>
      <c r="O677" s="389"/>
      <c r="P677" s="389"/>
    </row>
    <row r="678" spans="5:16">
      <c r="E678" s="389"/>
      <c r="F678" s="389"/>
      <c r="G678" s="389"/>
      <c r="H678" s="389"/>
      <c r="I678" s="389"/>
      <c r="J678" s="389"/>
      <c r="K678" s="389"/>
      <c r="L678" s="389"/>
      <c r="M678" s="389"/>
      <c r="N678" s="389"/>
      <c r="O678" s="389"/>
      <c r="P678" s="389"/>
    </row>
    <row r="679" spans="5:16">
      <c r="E679" s="389"/>
      <c r="F679" s="389"/>
      <c r="G679" s="389"/>
      <c r="H679" s="389"/>
      <c r="I679" s="389"/>
      <c r="J679" s="389"/>
      <c r="K679" s="389"/>
      <c r="L679" s="389"/>
      <c r="M679" s="389"/>
      <c r="N679" s="389"/>
      <c r="O679" s="389"/>
      <c r="P679" s="389"/>
    </row>
    <row r="680" spans="5:16">
      <c r="E680" s="389"/>
      <c r="F680" s="389"/>
      <c r="G680" s="389"/>
      <c r="H680" s="389"/>
      <c r="I680" s="389"/>
      <c r="J680" s="389"/>
      <c r="K680" s="389"/>
      <c r="L680" s="389"/>
      <c r="M680" s="389"/>
      <c r="N680" s="389"/>
      <c r="O680" s="389"/>
      <c r="P680" s="389"/>
    </row>
    <row r="681" spans="5:16">
      <c r="E681" s="389"/>
      <c r="F681" s="389"/>
      <c r="G681" s="389"/>
      <c r="H681" s="389"/>
      <c r="I681" s="389"/>
      <c r="J681" s="389"/>
      <c r="K681" s="389"/>
      <c r="L681" s="389"/>
      <c r="M681" s="389"/>
      <c r="N681" s="389"/>
      <c r="O681" s="389"/>
      <c r="P681" s="389"/>
    </row>
    <row r="682" spans="5:16">
      <c r="E682" s="389"/>
      <c r="F682" s="389"/>
      <c r="G682" s="389"/>
      <c r="H682" s="389"/>
      <c r="I682" s="389"/>
      <c r="J682" s="389"/>
      <c r="K682" s="389"/>
      <c r="L682" s="389"/>
      <c r="M682" s="389"/>
      <c r="N682" s="389"/>
      <c r="O682" s="389"/>
      <c r="P682" s="389"/>
    </row>
    <row r="683" spans="5:16">
      <c r="E683" s="389"/>
      <c r="F683" s="389"/>
      <c r="G683" s="389"/>
      <c r="H683" s="389"/>
      <c r="I683" s="389"/>
      <c r="J683" s="389"/>
      <c r="K683" s="389"/>
      <c r="L683" s="389"/>
      <c r="M683" s="389"/>
      <c r="N683" s="389"/>
      <c r="O683" s="389"/>
      <c r="P683" s="389"/>
    </row>
    <row r="684" spans="5:16">
      <c r="E684" s="389"/>
      <c r="F684" s="389"/>
      <c r="G684" s="389"/>
      <c r="H684" s="389"/>
      <c r="I684" s="389"/>
      <c r="J684" s="389"/>
      <c r="K684" s="389"/>
      <c r="L684" s="389"/>
      <c r="M684" s="389"/>
      <c r="N684" s="389"/>
      <c r="O684" s="389"/>
      <c r="P684" s="389"/>
    </row>
    <row r="685" spans="5:16">
      <c r="E685" s="389"/>
      <c r="F685" s="389"/>
      <c r="G685" s="389"/>
      <c r="H685" s="389"/>
      <c r="I685" s="389"/>
      <c r="J685" s="389"/>
      <c r="K685" s="389"/>
      <c r="L685" s="389"/>
      <c r="M685" s="389"/>
      <c r="N685" s="389"/>
      <c r="O685" s="389"/>
      <c r="P685" s="389"/>
    </row>
    <row r="686" spans="5:16">
      <c r="E686" s="389"/>
      <c r="F686" s="389"/>
      <c r="G686" s="389"/>
      <c r="H686" s="389"/>
      <c r="I686" s="389"/>
      <c r="J686" s="389"/>
      <c r="K686" s="389"/>
      <c r="L686" s="389"/>
      <c r="M686" s="389"/>
      <c r="N686" s="389"/>
      <c r="O686" s="389"/>
      <c r="P686" s="389"/>
    </row>
    <row r="687" spans="5:16">
      <c r="E687" s="389"/>
      <c r="F687" s="389"/>
      <c r="G687" s="389"/>
      <c r="H687" s="389"/>
      <c r="I687" s="389"/>
      <c r="J687" s="389"/>
      <c r="K687" s="389"/>
      <c r="L687" s="389"/>
      <c r="M687" s="389"/>
      <c r="N687" s="389"/>
      <c r="O687" s="389"/>
      <c r="P687" s="389"/>
    </row>
    <row r="688" spans="5:16">
      <c r="E688" s="389"/>
      <c r="F688" s="389"/>
      <c r="G688" s="389"/>
      <c r="H688" s="389"/>
      <c r="I688" s="389"/>
      <c r="J688" s="389"/>
      <c r="K688" s="389"/>
      <c r="L688" s="389"/>
      <c r="M688" s="389"/>
      <c r="N688" s="389"/>
      <c r="O688" s="389"/>
      <c r="P688" s="389"/>
    </row>
    <row r="689" spans="5:16">
      <c r="E689" s="389"/>
      <c r="F689" s="389"/>
      <c r="G689" s="389"/>
      <c r="H689" s="389"/>
      <c r="I689" s="389"/>
      <c r="J689" s="389"/>
      <c r="K689" s="389"/>
      <c r="L689" s="389"/>
      <c r="M689" s="389"/>
      <c r="N689" s="389"/>
      <c r="O689" s="389"/>
      <c r="P689" s="389"/>
    </row>
    <row r="690" spans="5:16">
      <c r="E690" s="389"/>
      <c r="F690" s="389"/>
      <c r="G690" s="389"/>
      <c r="H690" s="389"/>
      <c r="I690" s="389"/>
      <c r="J690" s="389"/>
      <c r="K690" s="389"/>
      <c r="L690" s="389"/>
      <c r="M690" s="389"/>
      <c r="N690" s="389"/>
      <c r="O690" s="389"/>
      <c r="P690" s="389"/>
    </row>
    <row r="691" spans="5:16">
      <c r="E691" s="389"/>
      <c r="F691" s="389"/>
      <c r="G691" s="389"/>
      <c r="H691" s="389"/>
      <c r="I691" s="389"/>
      <c r="J691" s="389"/>
      <c r="K691" s="389"/>
      <c r="L691" s="389"/>
      <c r="M691" s="389"/>
      <c r="N691" s="389"/>
      <c r="O691" s="389"/>
      <c r="P691" s="389"/>
    </row>
    <row r="692" spans="5:16">
      <c r="E692" s="389"/>
      <c r="F692" s="389"/>
      <c r="G692" s="389"/>
      <c r="H692" s="389"/>
      <c r="I692" s="389"/>
      <c r="J692" s="389"/>
      <c r="K692" s="389"/>
      <c r="L692" s="389"/>
      <c r="M692" s="389"/>
      <c r="N692" s="389"/>
      <c r="O692" s="389"/>
      <c r="P692" s="389"/>
    </row>
    <row r="693" spans="5:16">
      <c r="E693" s="389"/>
      <c r="F693" s="389"/>
      <c r="G693" s="389"/>
      <c r="H693" s="389"/>
      <c r="I693" s="389"/>
      <c r="J693" s="389"/>
      <c r="K693" s="389"/>
      <c r="L693" s="389"/>
      <c r="M693" s="389"/>
      <c r="N693" s="389"/>
      <c r="O693" s="389"/>
      <c r="P693" s="389"/>
    </row>
    <row r="694" spans="5:16">
      <c r="E694" s="389"/>
      <c r="F694" s="389"/>
      <c r="G694" s="389"/>
      <c r="H694" s="389"/>
      <c r="I694" s="389"/>
      <c r="J694" s="389"/>
      <c r="K694" s="389"/>
      <c r="L694" s="389"/>
      <c r="M694" s="389"/>
      <c r="N694" s="389"/>
      <c r="O694" s="389"/>
      <c r="P694" s="389"/>
    </row>
    <row r="695" spans="5:16">
      <c r="E695" s="389"/>
      <c r="F695" s="389"/>
      <c r="G695" s="389"/>
      <c r="H695" s="389"/>
      <c r="I695" s="389"/>
      <c r="J695" s="389"/>
      <c r="K695" s="389"/>
      <c r="L695" s="389"/>
      <c r="M695" s="389"/>
      <c r="N695" s="389"/>
      <c r="O695" s="389"/>
      <c r="P695" s="389"/>
    </row>
    <row r="696" spans="5:16">
      <c r="E696" s="389"/>
      <c r="F696" s="389"/>
      <c r="G696" s="389"/>
      <c r="H696" s="389"/>
      <c r="I696" s="389"/>
      <c r="J696" s="389"/>
      <c r="K696" s="389"/>
      <c r="L696" s="389"/>
      <c r="M696" s="389"/>
      <c r="N696" s="389"/>
      <c r="O696" s="389"/>
      <c r="P696" s="389"/>
    </row>
    <row r="697" spans="5:16">
      <c r="E697" s="389"/>
      <c r="F697" s="389"/>
      <c r="G697" s="389"/>
      <c r="H697" s="389"/>
      <c r="I697" s="389"/>
      <c r="J697" s="389"/>
      <c r="K697" s="389"/>
      <c r="L697" s="389"/>
      <c r="M697" s="389"/>
      <c r="N697" s="389"/>
      <c r="O697" s="389"/>
      <c r="P697" s="389"/>
    </row>
    <row r="698" spans="5:16">
      <c r="E698" s="389"/>
      <c r="F698" s="389"/>
      <c r="G698" s="389"/>
      <c r="H698" s="389"/>
      <c r="I698" s="389"/>
      <c r="J698" s="389"/>
      <c r="K698" s="389"/>
      <c r="L698" s="389"/>
      <c r="M698" s="389"/>
      <c r="N698" s="389"/>
      <c r="O698" s="389"/>
      <c r="P698" s="389"/>
    </row>
    <row r="699" spans="5:16">
      <c r="E699" s="389"/>
      <c r="F699" s="389"/>
      <c r="G699" s="389"/>
      <c r="H699" s="389"/>
      <c r="I699" s="389"/>
      <c r="J699" s="389"/>
      <c r="K699" s="389"/>
      <c r="L699" s="389"/>
      <c r="M699" s="389"/>
      <c r="N699" s="389"/>
      <c r="O699" s="389"/>
      <c r="P699" s="389"/>
    </row>
    <row r="700" spans="5:16">
      <c r="E700" s="389"/>
      <c r="F700" s="389"/>
      <c r="G700" s="389"/>
      <c r="H700" s="389"/>
      <c r="I700" s="389"/>
      <c r="J700" s="389"/>
      <c r="K700" s="389"/>
      <c r="L700" s="389"/>
      <c r="M700" s="389"/>
      <c r="N700" s="389"/>
      <c r="O700" s="389"/>
      <c r="P700" s="389"/>
    </row>
    <row r="701" spans="5:16">
      <c r="E701" s="389"/>
      <c r="F701" s="389"/>
      <c r="G701" s="389"/>
      <c r="H701" s="389"/>
      <c r="I701" s="389"/>
      <c r="J701" s="389"/>
      <c r="K701" s="389"/>
      <c r="L701" s="389"/>
      <c r="M701" s="389"/>
      <c r="N701" s="389"/>
      <c r="O701" s="389"/>
      <c r="P701" s="389"/>
    </row>
    <row r="702" spans="5:16">
      <c r="E702" s="389"/>
      <c r="F702" s="389"/>
      <c r="G702" s="389"/>
      <c r="H702" s="389"/>
      <c r="I702" s="389"/>
      <c r="J702" s="389"/>
      <c r="K702" s="389"/>
      <c r="L702" s="389"/>
      <c r="M702" s="389"/>
      <c r="N702" s="389"/>
      <c r="O702" s="389"/>
      <c r="P702" s="389"/>
    </row>
    <row r="703" spans="5:16">
      <c r="E703" s="389"/>
      <c r="F703" s="389"/>
      <c r="G703" s="389"/>
      <c r="H703" s="389"/>
      <c r="I703" s="389"/>
      <c r="J703" s="389"/>
      <c r="K703" s="389"/>
      <c r="L703" s="389"/>
      <c r="M703" s="389"/>
      <c r="N703" s="389"/>
      <c r="O703" s="389"/>
      <c r="P703" s="389"/>
    </row>
    <row r="704" spans="5:16">
      <c r="E704" s="389"/>
      <c r="F704" s="389"/>
      <c r="G704" s="389"/>
      <c r="H704" s="389"/>
      <c r="I704" s="389"/>
      <c r="J704" s="389"/>
      <c r="K704" s="389"/>
      <c r="L704" s="389"/>
      <c r="M704" s="389"/>
      <c r="N704" s="389"/>
      <c r="O704" s="389"/>
      <c r="P704" s="389"/>
    </row>
    <row r="705" spans="5:16">
      <c r="E705" s="389"/>
      <c r="F705" s="389"/>
      <c r="G705" s="389"/>
      <c r="H705" s="389"/>
      <c r="I705" s="389"/>
      <c r="J705" s="389"/>
      <c r="K705" s="389"/>
      <c r="L705" s="389"/>
      <c r="M705" s="389"/>
      <c r="N705" s="389"/>
      <c r="O705" s="389"/>
      <c r="P705" s="389"/>
    </row>
    <row r="706" spans="5:16">
      <c r="E706" s="389"/>
      <c r="F706" s="389"/>
      <c r="G706" s="389"/>
      <c r="H706" s="389"/>
      <c r="I706" s="389"/>
      <c r="J706" s="389"/>
      <c r="K706" s="389"/>
      <c r="L706" s="389"/>
      <c r="M706" s="389"/>
      <c r="N706" s="389"/>
      <c r="O706" s="389"/>
      <c r="P706" s="389"/>
    </row>
    <row r="707" spans="5:16">
      <c r="E707" s="389"/>
      <c r="F707" s="389"/>
      <c r="G707" s="389"/>
      <c r="H707" s="389"/>
      <c r="I707" s="389"/>
      <c r="J707" s="389"/>
      <c r="K707" s="389"/>
      <c r="L707" s="389"/>
      <c r="M707" s="389"/>
      <c r="N707" s="389"/>
      <c r="O707" s="389"/>
      <c r="P707" s="389"/>
    </row>
    <row r="708" spans="5:16">
      <c r="E708" s="389"/>
      <c r="F708" s="389"/>
      <c r="G708" s="389"/>
      <c r="H708" s="389"/>
      <c r="I708" s="389"/>
      <c r="J708" s="389"/>
      <c r="K708" s="389"/>
      <c r="L708" s="389"/>
      <c r="M708" s="389"/>
      <c r="N708" s="389"/>
      <c r="O708" s="389"/>
      <c r="P708" s="389"/>
    </row>
    <row r="709" spans="5:16">
      <c r="E709" s="389"/>
      <c r="F709" s="389"/>
      <c r="G709" s="389"/>
      <c r="H709" s="389"/>
      <c r="I709" s="389"/>
      <c r="J709" s="389"/>
      <c r="K709" s="389"/>
      <c r="L709" s="389"/>
      <c r="M709" s="389"/>
      <c r="N709" s="389"/>
      <c r="O709" s="389"/>
      <c r="P709" s="389"/>
    </row>
    <row r="710" spans="5:16">
      <c r="E710" s="389"/>
      <c r="F710" s="389"/>
      <c r="G710" s="389"/>
      <c r="H710" s="389"/>
      <c r="I710" s="389"/>
      <c r="J710" s="389"/>
      <c r="K710" s="389"/>
      <c r="L710" s="389"/>
      <c r="M710" s="389"/>
      <c r="N710" s="389"/>
      <c r="O710" s="389"/>
      <c r="P710" s="389"/>
    </row>
    <row r="711" spans="5:16">
      <c r="E711" s="389"/>
      <c r="F711" s="389"/>
      <c r="G711" s="389"/>
      <c r="H711" s="389"/>
      <c r="I711" s="389"/>
      <c r="J711" s="389"/>
      <c r="K711" s="389"/>
      <c r="L711" s="389"/>
      <c r="M711" s="389"/>
      <c r="N711" s="389"/>
      <c r="O711" s="389"/>
      <c r="P711" s="389"/>
    </row>
    <row r="712" spans="5:16">
      <c r="E712" s="389"/>
      <c r="F712" s="389"/>
      <c r="G712" s="389"/>
      <c r="H712" s="389"/>
      <c r="I712" s="389"/>
      <c r="J712" s="389"/>
      <c r="K712" s="389"/>
      <c r="L712" s="389"/>
      <c r="M712" s="389"/>
      <c r="N712" s="389"/>
      <c r="O712" s="389"/>
      <c r="P712" s="389"/>
    </row>
    <row r="713" spans="5:16">
      <c r="E713" s="389"/>
      <c r="F713" s="389"/>
      <c r="G713" s="389"/>
      <c r="H713" s="389"/>
      <c r="I713" s="389"/>
      <c r="J713" s="389"/>
      <c r="K713" s="389"/>
      <c r="L713" s="389"/>
      <c r="M713" s="389"/>
      <c r="N713" s="389"/>
      <c r="O713" s="389"/>
      <c r="P713" s="389"/>
    </row>
    <row r="714" spans="5:16">
      <c r="E714" s="389"/>
      <c r="F714" s="389"/>
      <c r="G714" s="389"/>
      <c r="H714" s="389"/>
      <c r="I714" s="389"/>
      <c r="J714" s="389"/>
      <c r="K714" s="389"/>
      <c r="L714" s="389"/>
      <c r="M714" s="389"/>
      <c r="N714" s="389"/>
      <c r="O714" s="389"/>
      <c r="P714" s="389"/>
    </row>
    <row r="715" spans="5:16">
      <c r="E715" s="389"/>
      <c r="F715" s="389"/>
      <c r="G715" s="389"/>
      <c r="H715" s="389"/>
      <c r="I715" s="389"/>
      <c r="J715" s="389"/>
      <c r="K715" s="389"/>
      <c r="L715" s="389"/>
      <c r="M715" s="389"/>
      <c r="N715" s="389"/>
      <c r="O715" s="389"/>
      <c r="P715" s="389"/>
    </row>
    <row r="716" spans="5:16">
      <c r="E716" s="389"/>
      <c r="F716" s="389"/>
      <c r="G716" s="389"/>
      <c r="H716" s="389"/>
      <c r="I716" s="389"/>
      <c r="J716" s="389"/>
      <c r="K716" s="389"/>
      <c r="L716" s="389"/>
      <c r="M716" s="389"/>
      <c r="N716" s="389"/>
      <c r="O716" s="389"/>
      <c r="P716" s="389"/>
    </row>
    <row r="717" spans="5:16">
      <c r="E717" s="389"/>
      <c r="F717" s="389"/>
      <c r="G717" s="389"/>
      <c r="H717" s="389"/>
      <c r="I717" s="389"/>
      <c r="J717" s="389"/>
      <c r="K717" s="389"/>
      <c r="L717" s="389"/>
      <c r="M717" s="389"/>
      <c r="N717" s="389"/>
      <c r="O717" s="389"/>
      <c r="P717" s="389"/>
    </row>
    <row r="718" spans="5:16">
      <c r="E718" s="389"/>
      <c r="F718" s="389"/>
      <c r="G718" s="389"/>
      <c r="H718" s="389"/>
      <c r="I718" s="389"/>
      <c r="J718" s="389"/>
      <c r="K718" s="389"/>
      <c r="L718" s="389"/>
      <c r="M718" s="389"/>
      <c r="N718" s="389"/>
      <c r="O718" s="389"/>
      <c r="P718" s="389"/>
    </row>
    <row r="719" spans="5:16">
      <c r="E719" s="389"/>
      <c r="F719" s="389"/>
      <c r="G719" s="389"/>
      <c r="H719" s="389"/>
      <c r="I719" s="389"/>
      <c r="J719" s="389"/>
      <c r="K719" s="389"/>
      <c r="L719" s="389"/>
      <c r="M719" s="389"/>
      <c r="N719" s="389"/>
      <c r="O719" s="389"/>
      <c r="P719" s="389"/>
    </row>
    <row r="720" spans="5:16">
      <c r="E720" s="389"/>
      <c r="F720" s="389"/>
      <c r="G720" s="389"/>
      <c r="H720" s="389"/>
      <c r="I720" s="389"/>
      <c r="J720" s="389"/>
      <c r="K720" s="389"/>
      <c r="L720" s="389"/>
      <c r="M720" s="389"/>
      <c r="N720" s="389"/>
      <c r="O720" s="389"/>
      <c r="P720" s="389"/>
    </row>
    <row r="721" spans="5:16">
      <c r="E721" s="389"/>
      <c r="F721" s="389"/>
      <c r="G721" s="389"/>
      <c r="H721" s="389"/>
      <c r="I721" s="389"/>
      <c r="J721" s="389"/>
      <c r="K721" s="389"/>
      <c r="L721" s="389"/>
      <c r="M721" s="389"/>
      <c r="N721" s="389"/>
      <c r="O721" s="389"/>
      <c r="P721" s="389"/>
    </row>
    <row r="722" spans="5:16">
      <c r="E722" s="389"/>
      <c r="F722" s="389"/>
      <c r="G722" s="389"/>
      <c r="H722" s="389"/>
      <c r="I722" s="389"/>
      <c r="J722" s="389"/>
      <c r="K722" s="389"/>
      <c r="L722" s="389"/>
      <c r="M722" s="389"/>
      <c r="N722" s="389"/>
      <c r="O722" s="389"/>
      <c r="P722" s="389"/>
    </row>
    <row r="723" spans="5:16">
      <c r="E723" s="389"/>
      <c r="F723" s="389"/>
      <c r="G723" s="389"/>
      <c r="H723" s="389"/>
      <c r="I723" s="389"/>
      <c r="J723" s="389"/>
      <c r="K723" s="389"/>
      <c r="L723" s="389"/>
      <c r="M723" s="389"/>
      <c r="N723" s="389"/>
      <c r="O723" s="389"/>
      <c r="P723" s="389"/>
    </row>
    <row r="724" spans="5:16">
      <c r="E724" s="389"/>
      <c r="F724" s="389"/>
      <c r="G724" s="389"/>
      <c r="H724" s="389"/>
      <c r="I724" s="389"/>
      <c r="J724" s="389"/>
      <c r="K724" s="389"/>
      <c r="L724" s="389"/>
      <c r="M724" s="389"/>
      <c r="N724" s="389"/>
      <c r="O724" s="389"/>
      <c r="P724" s="389"/>
    </row>
    <row r="725" spans="5:16">
      <c r="E725" s="389"/>
      <c r="F725" s="389"/>
      <c r="G725" s="389"/>
      <c r="H725" s="389"/>
      <c r="I725" s="389"/>
      <c r="J725" s="389"/>
      <c r="K725" s="389"/>
      <c r="L725" s="389"/>
      <c r="M725" s="389"/>
      <c r="N725" s="389"/>
      <c r="O725" s="389"/>
      <c r="P725" s="389"/>
    </row>
    <row r="726" spans="5:16">
      <c r="E726" s="389"/>
      <c r="F726" s="389"/>
      <c r="G726" s="389"/>
      <c r="H726" s="389"/>
      <c r="I726" s="389"/>
      <c r="J726" s="389"/>
      <c r="K726" s="389"/>
      <c r="L726" s="389"/>
      <c r="M726" s="389"/>
      <c r="N726" s="389"/>
      <c r="O726" s="389"/>
      <c r="P726" s="389"/>
    </row>
    <row r="727" spans="5:16">
      <c r="E727" s="389"/>
      <c r="F727" s="389"/>
      <c r="G727" s="389"/>
      <c r="H727" s="389"/>
      <c r="I727" s="389"/>
      <c r="J727" s="389"/>
      <c r="K727" s="389"/>
      <c r="L727" s="389"/>
      <c r="M727" s="389"/>
      <c r="N727" s="389"/>
      <c r="O727" s="389"/>
      <c r="P727" s="389"/>
    </row>
    <row r="728" spans="5:16">
      <c r="E728" s="389"/>
      <c r="F728" s="389"/>
      <c r="G728" s="389"/>
      <c r="H728" s="389"/>
      <c r="I728" s="389"/>
      <c r="J728" s="389"/>
      <c r="K728" s="389"/>
      <c r="L728" s="389"/>
      <c r="M728" s="389"/>
      <c r="N728" s="389"/>
      <c r="O728" s="389"/>
      <c r="P728" s="389"/>
    </row>
    <row r="729" spans="5:16">
      <c r="E729" s="389"/>
      <c r="F729" s="389"/>
      <c r="G729" s="389"/>
      <c r="H729" s="389"/>
      <c r="I729" s="389"/>
      <c r="J729" s="389"/>
      <c r="K729" s="389"/>
      <c r="L729" s="389"/>
      <c r="M729" s="389"/>
      <c r="N729" s="389"/>
      <c r="O729" s="389"/>
      <c r="P729" s="389"/>
    </row>
    <row r="730" spans="5:16">
      <c r="E730" s="389"/>
      <c r="F730" s="389"/>
      <c r="G730" s="389"/>
      <c r="H730" s="389"/>
      <c r="I730" s="389"/>
      <c r="J730" s="389"/>
      <c r="K730" s="389"/>
      <c r="L730" s="389"/>
      <c r="M730" s="389"/>
      <c r="N730" s="389"/>
      <c r="O730" s="389"/>
      <c r="P730" s="389"/>
    </row>
    <row r="731" spans="5:16">
      <c r="E731" s="389"/>
      <c r="F731" s="389"/>
      <c r="G731" s="389"/>
      <c r="H731" s="389"/>
      <c r="I731" s="389"/>
      <c r="J731" s="389"/>
      <c r="K731" s="389"/>
      <c r="L731" s="389"/>
      <c r="M731" s="389"/>
      <c r="N731" s="389"/>
      <c r="O731" s="389"/>
      <c r="P731" s="389"/>
    </row>
    <row r="732" spans="5:16">
      <c r="E732" s="389"/>
      <c r="F732" s="389"/>
      <c r="G732" s="389"/>
      <c r="H732" s="389"/>
      <c r="I732" s="389"/>
      <c r="J732" s="389"/>
      <c r="K732" s="389"/>
      <c r="L732" s="389"/>
      <c r="M732" s="389"/>
      <c r="N732" s="389"/>
      <c r="O732" s="389"/>
      <c r="P732" s="389"/>
    </row>
    <row r="733" spans="5:16">
      <c r="E733" s="389"/>
      <c r="F733" s="389"/>
      <c r="G733" s="389"/>
      <c r="H733" s="389"/>
      <c r="I733" s="389"/>
      <c r="J733" s="389"/>
      <c r="K733" s="389"/>
      <c r="L733" s="389"/>
      <c r="M733" s="389"/>
      <c r="N733" s="389"/>
      <c r="O733" s="389"/>
      <c r="P733" s="389"/>
    </row>
    <row r="734" spans="5:16">
      <c r="E734" s="389"/>
      <c r="F734" s="389"/>
      <c r="G734" s="389"/>
      <c r="H734" s="389"/>
      <c r="I734" s="389"/>
      <c r="J734" s="389"/>
      <c r="K734" s="389"/>
      <c r="L734" s="389"/>
      <c r="M734" s="389"/>
      <c r="N734" s="389"/>
      <c r="O734" s="389"/>
      <c r="P734" s="389"/>
    </row>
    <row r="735" spans="5:16">
      <c r="E735" s="389"/>
      <c r="F735" s="389"/>
      <c r="G735" s="389"/>
      <c r="H735" s="389"/>
      <c r="I735" s="389"/>
      <c r="J735" s="389"/>
      <c r="K735" s="389"/>
      <c r="L735" s="389"/>
      <c r="M735" s="389"/>
      <c r="N735" s="389"/>
      <c r="O735" s="389"/>
      <c r="P735" s="389"/>
    </row>
    <row r="736" spans="5:16">
      <c r="E736" s="389"/>
      <c r="F736" s="389"/>
      <c r="G736" s="389"/>
      <c r="H736" s="389"/>
      <c r="I736" s="389"/>
      <c r="J736" s="389"/>
      <c r="K736" s="389"/>
      <c r="L736" s="389"/>
      <c r="M736" s="389"/>
      <c r="N736" s="389"/>
      <c r="O736" s="389"/>
      <c r="P736" s="389"/>
    </row>
    <row r="737" spans="5:16">
      <c r="E737" s="389"/>
      <c r="F737" s="389"/>
      <c r="G737" s="389"/>
      <c r="H737" s="389"/>
      <c r="I737" s="389"/>
      <c r="J737" s="389"/>
      <c r="K737" s="389"/>
      <c r="L737" s="389"/>
      <c r="M737" s="389"/>
      <c r="N737" s="389"/>
      <c r="O737" s="389"/>
      <c r="P737" s="389"/>
    </row>
    <row r="738" spans="5:16">
      <c r="E738" s="389"/>
      <c r="F738" s="389"/>
      <c r="G738" s="389"/>
      <c r="H738" s="389"/>
      <c r="I738" s="389"/>
      <c r="J738" s="389"/>
      <c r="K738" s="389"/>
      <c r="L738" s="389"/>
      <c r="M738" s="389"/>
      <c r="N738" s="389"/>
      <c r="O738" s="389"/>
      <c r="P738" s="389"/>
    </row>
    <row r="739" spans="5:16">
      <c r="E739" s="389"/>
      <c r="F739" s="389"/>
      <c r="G739" s="389"/>
      <c r="H739" s="389"/>
      <c r="I739" s="389"/>
      <c r="J739" s="389"/>
      <c r="K739" s="389"/>
      <c r="L739" s="389"/>
      <c r="M739" s="389"/>
      <c r="N739" s="389"/>
      <c r="O739" s="389"/>
      <c r="P739" s="389"/>
    </row>
    <row r="740" spans="5:16">
      <c r="E740" s="389"/>
      <c r="F740" s="389"/>
      <c r="G740" s="389"/>
      <c r="H740" s="389"/>
      <c r="I740" s="389"/>
      <c r="J740" s="389"/>
      <c r="K740" s="389"/>
      <c r="L740" s="389"/>
      <c r="M740" s="389"/>
      <c r="N740" s="389"/>
      <c r="O740" s="389"/>
      <c r="P740" s="389"/>
    </row>
    <row r="741" spans="5:16">
      <c r="E741" s="389"/>
      <c r="F741" s="389"/>
      <c r="G741" s="389"/>
      <c r="H741" s="389"/>
      <c r="I741" s="389"/>
      <c r="J741" s="389"/>
      <c r="K741" s="389"/>
      <c r="L741" s="389"/>
      <c r="M741" s="389"/>
      <c r="N741" s="389"/>
      <c r="O741" s="389"/>
      <c r="P741" s="389"/>
    </row>
    <row r="742" spans="5:16">
      <c r="E742" s="389"/>
      <c r="F742" s="389"/>
      <c r="G742" s="389"/>
      <c r="H742" s="389"/>
      <c r="I742" s="389"/>
      <c r="J742" s="389"/>
      <c r="K742" s="389"/>
      <c r="L742" s="389"/>
      <c r="M742" s="389"/>
      <c r="N742" s="389"/>
      <c r="O742" s="389"/>
      <c r="P742" s="389"/>
    </row>
    <row r="743" spans="5:16">
      <c r="E743" s="389"/>
      <c r="F743" s="389"/>
      <c r="G743" s="389"/>
      <c r="H743" s="389"/>
      <c r="I743" s="389"/>
      <c r="J743" s="389"/>
      <c r="K743" s="389"/>
      <c r="L743" s="389"/>
      <c r="M743" s="389"/>
      <c r="N743" s="389"/>
      <c r="O743" s="389"/>
      <c r="P743" s="389"/>
    </row>
    <row r="744" spans="5:16">
      <c r="E744" s="389"/>
      <c r="F744" s="389"/>
      <c r="G744" s="389"/>
      <c r="H744" s="389"/>
      <c r="I744" s="389"/>
      <c r="J744" s="389"/>
      <c r="K744" s="389"/>
      <c r="L744" s="389"/>
      <c r="M744" s="389"/>
      <c r="N744" s="389"/>
      <c r="O744" s="389"/>
      <c r="P744" s="389"/>
    </row>
    <row r="745" spans="5:16">
      <c r="E745" s="389"/>
      <c r="F745" s="389"/>
      <c r="G745" s="389"/>
      <c r="H745" s="389"/>
      <c r="I745" s="389"/>
      <c r="J745" s="389"/>
      <c r="K745" s="389"/>
      <c r="L745" s="389"/>
      <c r="M745" s="389"/>
      <c r="N745" s="389"/>
      <c r="O745" s="389"/>
      <c r="P745" s="389"/>
    </row>
    <row r="746" spans="5:16">
      <c r="E746" s="389"/>
      <c r="F746" s="389"/>
      <c r="G746" s="389"/>
      <c r="H746" s="389"/>
      <c r="I746" s="389"/>
      <c r="J746" s="389"/>
      <c r="K746" s="389"/>
      <c r="L746" s="389"/>
      <c r="M746" s="389"/>
      <c r="N746" s="389"/>
      <c r="O746" s="389"/>
      <c r="P746" s="389"/>
    </row>
    <row r="747" spans="5:16">
      <c r="E747" s="389"/>
      <c r="F747" s="389"/>
      <c r="G747" s="389"/>
      <c r="H747" s="389"/>
      <c r="I747" s="389"/>
      <c r="J747" s="389"/>
      <c r="K747" s="389"/>
      <c r="L747" s="389"/>
      <c r="M747" s="389"/>
      <c r="N747" s="389"/>
      <c r="O747" s="389"/>
      <c r="P747" s="389"/>
    </row>
    <row r="748" spans="5:16">
      <c r="E748" s="389"/>
      <c r="F748" s="389"/>
      <c r="G748" s="389"/>
      <c r="H748" s="389"/>
      <c r="I748" s="389"/>
      <c r="J748" s="389"/>
      <c r="K748" s="389"/>
      <c r="L748" s="389"/>
      <c r="M748" s="389"/>
      <c r="N748" s="389"/>
      <c r="O748" s="389"/>
      <c r="P748" s="389"/>
    </row>
    <row r="749" spans="5:16">
      <c r="E749" s="389"/>
      <c r="F749" s="389"/>
      <c r="G749" s="389"/>
      <c r="H749" s="389"/>
      <c r="I749" s="389"/>
      <c r="J749" s="389"/>
      <c r="K749" s="389"/>
      <c r="L749" s="389"/>
      <c r="M749" s="389"/>
      <c r="N749" s="389"/>
      <c r="O749" s="389"/>
      <c r="P749" s="389"/>
    </row>
    <row r="750" spans="5:16">
      <c r="E750" s="389"/>
      <c r="F750" s="389"/>
      <c r="G750" s="389"/>
      <c r="H750" s="389"/>
      <c r="I750" s="389"/>
      <c r="J750" s="389"/>
      <c r="K750" s="389"/>
      <c r="L750" s="389"/>
      <c r="M750" s="389"/>
      <c r="N750" s="389"/>
      <c r="O750" s="389"/>
      <c r="P750" s="389"/>
    </row>
    <row r="751" spans="5:16">
      <c r="E751" s="389"/>
      <c r="F751" s="389"/>
      <c r="G751" s="389"/>
      <c r="H751" s="389"/>
      <c r="I751" s="389"/>
      <c r="J751" s="389"/>
      <c r="K751" s="389"/>
      <c r="L751" s="389"/>
      <c r="M751" s="389"/>
      <c r="N751" s="389"/>
      <c r="O751" s="389"/>
      <c r="P751" s="389"/>
    </row>
    <row r="752" spans="5:16">
      <c r="E752" s="389"/>
      <c r="F752" s="389"/>
      <c r="G752" s="389"/>
      <c r="H752" s="389"/>
      <c r="I752" s="389"/>
      <c r="J752" s="389"/>
      <c r="K752" s="389"/>
      <c r="L752" s="389"/>
      <c r="M752" s="389"/>
      <c r="N752" s="389"/>
      <c r="O752" s="389"/>
      <c r="P752" s="389"/>
    </row>
    <row r="753" spans="5:16">
      <c r="E753" s="389"/>
      <c r="F753" s="389"/>
      <c r="G753" s="389"/>
      <c r="H753" s="389"/>
      <c r="I753" s="389"/>
      <c r="J753" s="389"/>
      <c r="K753" s="389"/>
      <c r="L753" s="389"/>
      <c r="M753" s="389"/>
      <c r="N753" s="389"/>
      <c r="O753" s="389"/>
      <c r="P753" s="389"/>
    </row>
    <row r="754" spans="5:16">
      <c r="E754" s="389"/>
      <c r="F754" s="389"/>
      <c r="G754" s="389"/>
      <c r="H754" s="389"/>
      <c r="I754" s="389"/>
      <c r="J754" s="389"/>
      <c r="K754" s="389"/>
      <c r="L754" s="389"/>
      <c r="M754" s="389"/>
      <c r="N754" s="389"/>
      <c r="O754" s="389"/>
      <c r="P754" s="389"/>
    </row>
    <row r="755" spans="5:16">
      <c r="E755" s="389"/>
      <c r="F755" s="389"/>
      <c r="G755" s="389"/>
      <c r="H755" s="389"/>
      <c r="I755" s="389"/>
      <c r="J755" s="389"/>
      <c r="K755" s="389"/>
      <c r="L755" s="389"/>
      <c r="M755" s="389"/>
      <c r="N755" s="389"/>
      <c r="O755" s="389"/>
      <c r="P755" s="389"/>
    </row>
    <row r="756" spans="5:16">
      <c r="E756" s="389"/>
      <c r="F756" s="389"/>
      <c r="G756" s="389"/>
      <c r="H756" s="389"/>
      <c r="I756" s="389"/>
      <c r="J756" s="389"/>
      <c r="K756" s="389"/>
      <c r="L756" s="389"/>
      <c r="M756" s="389"/>
      <c r="N756" s="389"/>
      <c r="O756" s="389"/>
      <c r="P756" s="389"/>
    </row>
    <row r="757" spans="5:16">
      <c r="E757" s="389"/>
      <c r="F757" s="389"/>
      <c r="G757" s="389"/>
      <c r="H757" s="389"/>
      <c r="I757" s="389"/>
      <c r="J757" s="389"/>
      <c r="K757" s="389"/>
      <c r="L757" s="389"/>
      <c r="M757" s="389"/>
      <c r="N757" s="389"/>
      <c r="O757" s="389"/>
      <c r="P757" s="389"/>
    </row>
    <row r="758" spans="5:16">
      <c r="E758" s="389"/>
      <c r="F758" s="389"/>
      <c r="G758" s="389"/>
      <c r="H758" s="389"/>
      <c r="I758" s="389"/>
      <c r="J758" s="389"/>
      <c r="K758" s="389"/>
      <c r="L758" s="389"/>
      <c r="M758" s="389"/>
      <c r="N758" s="389"/>
      <c r="O758" s="389"/>
      <c r="P758" s="389"/>
    </row>
    <row r="759" spans="5:16">
      <c r="E759" s="389"/>
      <c r="F759" s="389"/>
      <c r="G759" s="389"/>
      <c r="H759" s="389"/>
      <c r="I759" s="389"/>
      <c r="J759" s="389"/>
      <c r="K759" s="389"/>
      <c r="L759" s="389"/>
      <c r="M759" s="389"/>
      <c r="N759" s="389"/>
      <c r="O759" s="389"/>
      <c r="P759" s="389"/>
    </row>
    <row r="760" spans="5:16">
      <c r="E760" s="389"/>
      <c r="F760" s="389"/>
      <c r="G760" s="389"/>
      <c r="H760" s="389"/>
      <c r="I760" s="389"/>
      <c r="J760" s="389"/>
      <c r="K760" s="389"/>
      <c r="L760" s="389"/>
      <c r="M760" s="389"/>
      <c r="N760" s="389"/>
      <c r="O760" s="389"/>
      <c r="P760" s="389"/>
    </row>
    <row r="761" spans="5:16">
      <c r="E761" s="389"/>
      <c r="F761" s="389"/>
      <c r="G761" s="389"/>
      <c r="H761" s="389"/>
      <c r="I761" s="389"/>
      <c r="J761" s="389"/>
      <c r="K761" s="389"/>
      <c r="L761" s="389"/>
      <c r="M761" s="389"/>
      <c r="N761" s="389"/>
      <c r="O761" s="389"/>
      <c r="P761" s="389"/>
    </row>
    <row r="762" spans="5:16">
      <c r="E762" s="389"/>
      <c r="F762" s="389"/>
      <c r="G762" s="389"/>
      <c r="H762" s="389"/>
      <c r="I762" s="389"/>
      <c r="J762" s="389"/>
      <c r="K762" s="389"/>
      <c r="L762" s="389"/>
      <c r="M762" s="389"/>
      <c r="N762" s="389"/>
      <c r="O762" s="389"/>
      <c r="P762" s="389"/>
    </row>
    <row r="763" spans="5:16">
      <c r="E763" s="389"/>
      <c r="F763" s="389"/>
      <c r="G763" s="389"/>
      <c r="H763" s="389"/>
      <c r="I763" s="389"/>
      <c r="J763" s="389"/>
      <c r="K763" s="389"/>
      <c r="L763" s="389"/>
      <c r="M763" s="389"/>
      <c r="N763" s="389"/>
      <c r="O763" s="389"/>
      <c r="P763" s="389"/>
    </row>
    <row r="764" spans="5:16">
      <c r="E764" s="389"/>
      <c r="F764" s="389"/>
      <c r="G764" s="389"/>
      <c r="H764" s="389"/>
      <c r="I764" s="389"/>
      <c r="J764" s="389"/>
      <c r="K764" s="389"/>
      <c r="L764" s="389"/>
      <c r="M764" s="389"/>
      <c r="N764" s="389"/>
      <c r="O764" s="389"/>
      <c r="P764" s="389"/>
    </row>
    <row r="765" spans="5:16">
      <c r="E765" s="389"/>
      <c r="F765" s="389"/>
      <c r="G765" s="389"/>
      <c r="H765" s="389"/>
      <c r="I765" s="389"/>
      <c r="J765" s="389"/>
      <c r="K765" s="389"/>
      <c r="L765" s="389"/>
      <c r="M765" s="389"/>
      <c r="N765" s="389"/>
      <c r="O765" s="389"/>
      <c r="P765" s="389"/>
    </row>
    <row r="766" spans="5:16">
      <c r="E766" s="389"/>
      <c r="F766" s="389"/>
      <c r="G766" s="389"/>
      <c r="H766" s="389"/>
      <c r="I766" s="389"/>
      <c r="J766" s="389"/>
      <c r="K766" s="389"/>
      <c r="L766" s="389"/>
      <c r="M766" s="389"/>
      <c r="N766" s="389"/>
      <c r="O766" s="389"/>
      <c r="P766" s="389"/>
    </row>
    <row r="767" spans="5:16">
      <c r="E767" s="389"/>
      <c r="F767" s="389"/>
      <c r="G767" s="389"/>
      <c r="H767" s="389"/>
      <c r="I767" s="389"/>
      <c r="J767" s="389"/>
      <c r="K767" s="389"/>
      <c r="L767" s="389"/>
      <c r="M767" s="389"/>
      <c r="N767" s="389"/>
      <c r="O767" s="389"/>
      <c r="P767" s="389"/>
    </row>
    <row r="768" spans="5:16">
      <c r="E768" s="389"/>
      <c r="F768" s="389"/>
      <c r="G768" s="389"/>
      <c r="H768" s="389"/>
      <c r="I768" s="389"/>
      <c r="J768" s="389"/>
      <c r="K768" s="389"/>
      <c r="L768" s="389"/>
      <c r="M768" s="389"/>
      <c r="N768" s="389"/>
      <c r="O768" s="389"/>
      <c r="P768" s="389"/>
    </row>
    <row r="769" spans="5:16">
      <c r="E769" s="389"/>
      <c r="F769" s="389"/>
      <c r="G769" s="389"/>
      <c r="H769" s="389"/>
      <c r="I769" s="389"/>
      <c r="J769" s="389"/>
      <c r="K769" s="389"/>
      <c r="L769" s="389"/>
      <c r="M769" s="389"/>
      <c r="N769" s="389"/>
      <c r="O769" s="389"/>
      <c r="P769" s="389"/>
    </row>
    <row r="770" spans="5:16">
      <c r="E770" s="389"/>
      <c r="F770" s="389"/>
      <c r="G770" s="389"/>
      <c r="H770" s="389"/>
      <c r="I770" s="389"/>
      <c r="J770" s="389"/>
      <c r="K770" s="389"/>
      <c r="L770" s="389"/>
      <c r="M770" s="389"/>
      <c r="N770" s="389"/>
      <c r="O770" s="389"/>
      <c r="P770" s="389"/>
    </row>
    <row r="771" spans="5:16">
      <c r="E771" s="389"/>
      <c r="F771" s="389"/>
      <c r="G771" s="389"/>
      <c r="H771" s="389"/>
      <c r="I771" s="389"/>
      <c r="J771" s="389"/>
      <c r="K771" s="389"/>
      <c r="L771" s="389"/>
      <c r="M771" s="389"/>
      <c r="N771" s="389"/>
      <c r="O771" s="389"/>
      <c r="P771" s="389"/>
    </row>
    <row r="772" spans="5:16">
      <c r="E772" s="389"/>
      <c r="F772" s="389"/>
      <c r="G772" s="389"/>
      <c r="H772" s="389"/>
      <c r="I772" s="389"/>
      <c r="J772" s="389"/>
      <c r="K772" s="389"/>
      <c r="L772" s="389"/>
      <c r="M772" s="389"/>
      <c r="N772" s="389"/>
      <c r="O772" s="389"/>
      <c r="P772" s="389"/>
    </row>
    <row r="773" spans="5:16">
      <c r="E773" s="389"/>
      <c r="F773" s="389"/>
      <c r="G773" s="389"/>
      <c r="H773" s="389"/>
      <c r="I773" s="389"/>
      <c r="J773" s="389"/>
      <c r="K773" s="389"/>
      <c r="L773" s="389"/>
      <c r="M773" s="389"/>
      <c r="N773" s="389"/>
      <c r="O773" s="389"/>
      <c r="P773" s="389"/>
    </row>
    <row r="774" spans="5:16">
      <c r="E774" s="389"/>
      <c r="F774" s="389"/>
      <c r="G774" s="389"/>
      <c r="H774" s="389"/>
      <c r="I774" s="389"/>
      <c r="J774" s="389"/>
      <c r="K774" s="389"/>
      <c r="L774" s="389"/>
      <c r="M774" s="389"/>
      <c r="N774" s="389"/>
      <c r="O774" s="389"/>
      <c r="P774" s="389"/>
    </row>
    <row r="775" spans="5:16">
      <c r="E775" s="389"/>
      <c r="F775" s="389"/>
      <c r="G775" s="389"/>
      <c r="H775" s="389"/>
      <c r="I775" s="389"/>
      <c r="J775" s="389"/>
      <c r="K775" s="389"/>
      <c r="L775" s="389"/>
      <c r="M775" s="389"/>
      <c r="N775" s="389"/>
      <c r="O775" s="389"/>
      <c r="P775" s="389"/>
    </row>
    <row r="776" spans="5:16">
      <c r="E776" s="389"/>
      <c r="F776" s="389"/>
      <c r="G776" s="389"/>
      <c r="H776" s="389"/>
      <c r="I776" s="389"/>
      <c r="J776" s="389"/>
      <c r="K776" s="389"/>
      <c r="L776" s="389"/>
      <c r="M776" s="389"/>
      <c r="N776" s="389"/>
      <c r="O776" s="389"/>
      <c r="P776" s="389"/>
    </row>
    <row r="777" spans="5:16">
      <c r="E777" s="389"/>
      <c r="F777" s="389"/>
      <c r="G777" s="389"/>
      <c r="H777" s="389"/>
      <c r="I777" s="389"/>
      <c r="J777" s="389"/>
      <c r="K777" s="389"/>
      <c r="L777" s="389"/>
      <c r="M777" s="389"/>
      <c r="N777" s="389"/>
      <c r="O777" s="389"/>
      <c r="P777" s="389"/>
    </row>
    <row r="778" spans="5:16">
      <c r="E778" s="389"/>
      <c r="F778" s="389"/>
      <c r="G778" s="389"/>
      <c r="H778" s="389"/>
      <c r="I778" s="389"/>
      <c r="J778" s="389"/>
      <c r="K778" s="389"/>
      <c r="L778" s="389"/>
      <c r="M778" s="389"/>
      <c r="N778" s="389"/>
      <c r="O778" s="389"/>
      <c r="P778" s="389"/>
    </row>
    <row r="779" spans="5:16">
      <c r="E779" s="389"/>
      <c r="F779" s="389"/>
      <c r="G779" s="389"/>
      <c r="H779" s="389"/>
      <c r="I779" s="389"/>
      <c r="J779" s="389"/>
      <c r="K779" s="389"/>
      <c r="L779" s="389"/>
      <c r="M779" s="389"/>
      <c r="N779" s="389"/>
      <c r="O779" s="389"/>
      <c r="P779" s="389"/>
    </row>
    <row r="780" spans="5:16">
      <c r="E780" s="389"/>
      <c r="F780" s="389"/>
      <c r="G780" s="389"/>
      <c r="H780" s="389"/>
      <c r="I780" s="389"/>
      <c r="J780" s="389"/>
      <c r="K780" s="389"/>
      <c r="L780" s="389"/>
      <c r="M780" s="389"/>
      <c r="N780" s="389"/>
      <c r="O780" s="389"/>
      <c r="P780" s="389"/>
    </row>
    <row r="781" spans="5:16">
      <c r="E781" s="389"/>
      <c r="F781" s="389"/>
      <c r="G781" s="389"/>
      <c r="H781" s="389"/>
      <c r="I781" s="389"/>
      <c r="J781" s="389"/>
      <c r="K781" s="389"/>
      <c r="L781" s="389"/>
      <c r="M781" s="389"/>
      <c r="N781" s="389"/>
      <c r="O781" s="389"/>
      <c r="P781" s="389"/>
    </row>
    <row r="782" spans="5:16">
      <c r="E782" s="389"/>
      <c r="F782" s="389"/>
      <c r="G782" s="389"/>
      <c r="H782" s="389"/>
      <c r="I782" s="389"/>
      <c r="J782" s="389"/>
      <c r="K782" s="389"/>
      <c r="L782" s="389"/>
      <c r="M782" s="389"/>
      <c r="N782" s="389"/>
      <c r="O782" s="389"/>
      <c r="P782" s="389"/>
    </row>
    <row r="783" spans="5:16">
      <c r="E783" s="389"/>
      <c r="F783" s="389"/>
      <c r="G783" s="389"/>
      <c r="H783" s="389"/>
      <c r="I783" s="389"/>
      <c r="J783" s="389"/>
      <c r="K783" s="389"/>
      <c r="L783" s="389"/>
      <c r="M783" s="389"/>
      <c r="N783" s="389"/>
      <c r="O783" s="389"/>
      <c r="P783" s="389"/>
    </row>
    <row r="784" spans="5:16">
      <c r="E784" s="389"/>
      <c r="F784" s="389"/>
      <c r="G784" s="389"/>
      <c r="H784" s="389"/>
      <c r="I784" s="389"/>
      <c r="J784" s="389"/>
      <c r="K784" s="389"/>
      <c r="L784" s="389"/>
      <c r="M784" s="389"/>
      <c r="N784" s="389"/>
      <c r="O784" s="389"/>
      <c r="P784" s="389"/>
    </row>
    <row r="785" spans="5:16">
      <c r="E785" s="389"/>
      <c r="F785" s="389"/>
      <c r="G785" s="389"/>
      <c r="H785" s="389"/>
      <c r="I785" s="389"/>
      <c r="J785" s="389"/>
      <c r="K785" s="389"/>
      <c r="L785" s="389"/>
      <c r="M785" s="389"/>
      <c r="N785" s="389"/>
      <c r="O785" s="389"/>
      <c r="P785" s="389"/>
    </row>
    <row r="786" spans="5:16">
      <c r="E786" s="389"/>
      <c r="F786" s="389"/>
      <c r="G786" s="389"/>
      <c r="H786" s="389"/>
      <c r="I786" s="389"/>
      <c r="J786" s="389"/>
      <c r="K786" s="389"/>
      <c r="L786" s="389"/>
      <c r="M786" s="389"/>
      <c r="N786" s="389"/>
      <c r="O786" s="389"/>
      <c r="P786" s="389"/>
    </row>
    <row r="787" spans="5:16">
      <c r="E787" s="389"/>
      <c r="F787" s="389"/>
      <c r="G787" s="389"/>
      <c r="H787" s="389"/>
      <c r="I787" s="389"/>
      <c r="J787" s="389"/>
      <c r="K787" s="389"/>
      <c r="L787" s="389"/>
      <c r="M787" s="389"/>
      <c r="N787" s="389"/>
      <c r="O787" s="389"/>
      <c r="P787" s="389"/>
    </row>
    <row r="788" spans="5:16">
      <c r="E788" s="389"/>
      <c r="F788" s="389"/>
      <c r="G788" s="389"/>
      <c r="H788" s="389"/>
      <c r="I788" s="389"/>
      <c r="J788" s="389"/>
      <c r="K788" s="389"/>
      <c r="L788" s="389"/>
      <c r="M788" s="389"/>
      <c r="N788" s="389"/>
      <c r="O788" s="389"/>
      <c r="P788" s="389"/>
    </row>
    <row r="789" spans="5:16">
      <c r="E789" s="389"/>
      <c r="F789" s="389"/>
      <c r="G789" s="389"/>
      <c r="H789" s="389"/>
      <c r="I789" s="389"/>
      <c r="J789" s="389"/>
      <c r="K789" s="389"/>
      <c r="L789" s="389"/>
      <c r="M789" s="389"/>
      <c r="N789" s="389"/>
      <c r="O789" s="389"/>
      <c r="P789" s="389"/>
    </row>
    <row r="790" spans="5:16">
      <c r="E790" s="389"/>
      <c r="F790" s="389"/>
      <c r="G790" s="389"/>
      <c r="H790" s="389"/>
      <c r="I790" s="389"/>
      <c r="J790" s="389"/>
      <c r="K790" s="389"/>
      <c r="L790" s="389"/>
      <c r="M790" s="389"/>
      <c r="N790" s="389"/>
      <c r="O790" s="389"/>
      <c r="P790" s="389"/>
    </row>
    <row r="791" spans="5:16">
      <c r="E791" s="389"/>
      <c r="F791" s="389"/>
      <c r="G791" s="389"/>
      <c r="H791" s="389"/>
      <c r="I791" s="389"/>
      <c r="J791" s="389"/>
      <c r="K791" s="389"/>
      <c r="L791" s="389"/>
      <c r="M791" s="389"/>
      <c r="N791" s="389"/>
      <c r="O791" s="389"/>
      <c r="P791" s="389"/>
    </row>
    <row r="792" spans="5:16">
      <c r="E792" s="389"/>
      <c r="F792" s="389"/>
      <c r="G792" s="389"/>
      <c r="H792" s="389"/>
      <c r="I792" s="389"/>
      <c r="J792" s="389"/>
      <c r="K792" s="389"/>
      <c r="L792" s="389"/>
      <c r="M792" s="389"/>
      <c r="N792" s="389"/>
      <c r="O792" s="389"/>
      <c r="P792" s="389"/>
    </row>
    <row r="793" spans="5:16">
      <c r="E793" s="389"/>
      <c r="F793" s="389"/>
      <c r="G793" s="389"/>
      <c r="H793" s="389"/>
      <c r="I793" s="389"/>
      <c r="J793" s="389"/>
      <c r="K793" s="389"/>
      <c r="L793" s="389"/>
      <c r="M793" s="389"/>
      <c r="N793" s="389"/>
      <c r="O793" s="389"/>
      <c r="P793" s="389"/>
    </row>
    <row r="794" spans="5:16">
      <c r="E794" s="389"/>
      <c r="F794" s="389"/>
      <c r="G794" s="389"/>
      <c r="H794" s="389"/>
      <c r="I794" s="389"/>
      <c r="J794" s="389"/>
      <c r="K794" s="389"/>
      <c r="L794" s="389"/>
      <c r="M794" s="389"/>
      <c r="N794" s="389"/>
      <c r="O794" s="389"/>
      <c r="P794" s="389"/>
    </row>
    <row r="795" spans="5:16">
      <c r="E795" s="389"/>
      <c r="F795" s="389"/>
      <c r="G795" s="389"/>
      <c r="H795" s="389"/>
      <c r="I795" s="389"/>
      <c r="J795" s="389"/>
      <c r="K795" s="389"/>
      <c r="L795" s="389"/>
      <c r="M795" s="389"/>
      <c r="N795" s="389"/>
      <c r="O795" s="389"/>
      <c r="P795" s="389"/>
    </row>
    <row r="796" spans="5:16">
      <c r="E796" s="389"/>
      <c r="F796" s="389"/>
      <c r="G796" s="389"/>
      <c r="H796" s="389"/>
      <c r="I796" s="389"/>
      <c r="J796" s="389"/>
      <c r="K796" s="389"/>
      <c r="L796" s="389"/>
      <c r="M796" s="389"/>
      <c r="N796" s="389"/>
      <c r="O796" s="389"/>
      <c r="P796" s="389"/>
    </row>
    <row r="797" spans="5:16">
      <c r="E797" s="389"/>
      <c r="F797" s="389"/>
      <c r="G797" s="389"/>
      <c r="H797" s="389"/>
      <c r="I797" s="389"/>
      <c r="J797" s="389"/>
      <c r="K797" s="389"/>
      <c r="L797" s="389"/>
      <c r="M797" s="389"/>
      <c r="N797" s="389"/>
      <c r="O797" s="389"/>
      <c r="P797" s="389"/>
    </row>
    <row r="798" spans="5:16">
      <c r="E798" s="389"/>
      <c r="F798" s="389"/>
      <c r="G798" s="389"/>
      <c r="H798" s="389"/>
      <c r="I798" s="389"/>
      <c r="J798" s="389"/>
      <c r="K798" s="389"/>
      <c r="L798" s="389"/>
      <c r="M798" s="389"/>
      <c r="N798" s="389"/>
      <c r="O798" s="389"/>
      <c r="P798" s="389"/>
    </row>
    <row r="799" spans="5:16">
      <c r="E799" s="389"/>
      <c r="F799" s="389"/>
      <c r="G799" s="389"/>
      <c r="H799" s="389"/>
      <c r="I799" s="389"/>
      <c r="J799" s="389"/>
      <c r="K799" s="389"/>
      <c r="L799" s="389"/>
      <c r="M799" s="389"/>
      <c r="N799" s="389"/>
      <c r="O799" s="389"/>
      <c r="P799" s="389"/>
    </row>
    <row r="800" spans="5:16">
      <c r="E800" s="389"/>
      <c r="F800" s="389"/>
      <c r="G800" s="389"/>
      <c r="H800" s="389"/>
      <c r="I800" s="389"/>
      <c r="J800" s="389"/>
      <c r="K800" s="389"/>
      <c r="L800" s="389"/>
      <c r="M800" s="389"/>
      <c r="N800" s="389"/>
      <c r="O800" s="389"/>
      <c r="P800" s="389"/>
    </row>
    <row r="801" spans="5:16">
      <c r="E801" s="389"/>
      <c r="F801" s="389"/>
      <c r="G801" s="389"/>
      <c r="H801" s="389"/>
      <c r="I801" s="389"/>
      <c r="J801" s="389"/>
      <c r="K801" s="389"/>
      <c r="L801" s="389"/>
      <c r="M801" s="389"/>
      <c r="N801" s="389"/>
      <c r="O801" s="389"/>
      <c r="P801" s="389"/>
    </row>
    <row r="802" spans="5:16">
      <c r="E802" s="389"/>
      <c r="F802" s="389"/>
      <c r="G802" s="389"/>
      <c r="H802" s="389"/>
      <c r="I802" s="389"/>
      <c r="J802" s="389"/>
      <c r="K802" s="389"/>
      <c r="L802" s="389"/>
      <c r="M802" s="389"/>
      <c r="N802" s="389"/>
      <c r="O802" s="389"/>
      <c r="P802" s="389"/>
    </row>
    <row r="803" spans="5:16">
      <c r="E803" s="389"/>
      <c r="F803" s="389"/>
      <c r="G803" s="389"/>
      <c r="H803" s="389"/>
      <c r="I803" s="389"/>
      <c r="J803" s="389"/>
      <c r="K803" s="389"/>
      <c r="L803" s="389"/>
      <c r="M803" s="389"/>
      <c r="N803" s="389"/>
      <c r="O803" s="389"/>
      <c r="P803" s="389"/>
    </row>
    <row r="804" spans="5:16">
      <c r="E804" s="389"/>
      <c r="F804" s="389"/>
      <c r="G804" s="389"/>
      <c r="H804" s="389"/>
      <c r="I804" s="389"/>
      <c r="J804" s="389"/>
      <c r="K804" s="389"/>
      <c r="L804" s="389"/>
      <c r="M804" s="389"/>
      <c r="N804" s="389"/>
      <c r="O804" s="389"/>
      <c r="P804" s="389"/>
    </row>
    <row r="805" spans="5:16">
      <c r="E805" s="389"/>
      <c r="F805" s="389"/>
      <c r="G805" s="389"/>
      <c r="H805" s="389"/>
      <c r="I805" s="389"/>
      <c r="J805" s="389"/>
      <c r="K805" s="389"/>
      <c r="L805" s="389"/>
      <c r="M805" s="389"/>
      <c r="N805" s="389"/>
      <c r="O805" s="389"/>
      <c r="P805" s="389"/>
    </row>
    <row r="806" spans="5:16">
      <c r="E806" s="389"/>
      <c r="F806" s="389"/>
      <c r="G806" s="389"/>
      <c r="H806" s="389"/>
      <c r="I806" s="389"/>
      <c r="J806" s="389"/>
      <c r="K806" s="389"/>
      <c r="L806" s="389"/>
      <c r="M806" s="389"/>
      <c r="N806" s="389"/>
      <c r="O806" s="389"/>
      <c r="P806" s="389"/>
    </row>
    <row r="807" spans="5:16">
      <c r="E807" s="389"/>
      <c r="F807" s="389"/>
      <c r="G807" s="389"/>
      <c r="H807" s="389"/>
      <c r="I807" s="389"/>
      <c r="J807" s="389"/>
      <c r="K807" s="389"/>
      <c r="L807" s="389"/>
      <c r="M807" s="389"/>
      <c r="N807" s="389"/>
      <c r="O807" s="389"/>
      <c r="P807" s="389"/>
    </row>
    <row r="808" spans="5:16">
      <c r="E808" s="389"/>
      <c r="F808" s="389"/>
      <c r="G808" s="389"/>
      <c r="H808" s="389"/>
      <c r="I808" s="389"/>
      <c r="J808" s="389"/>
      <c r="K808" s="389"/>
      <c r="L808" s="389"/>
      <c r="M808" s="389"/>
      <c r="N808" s="389"/>
      <c r="O808" s="389"/>
      <c r="P808" s="389"/>
    </row>
    <row r="809" spans="5:16">
      <c r="E809" s="389"/>
      <c r="F809" s="389"/>
      <c r="G809" s="389"/>
      <c r="H809" s="389"/>
      <c r="I809" s="389"/>
      <c r="J809" s="389"/>
      <c r="K809" s="389"/>
      <c r="L809" s="389"/>
      <c r="M809" s="389"/>
      <c r="N809" s="389"/>
      <c r="O809" s="389"/>
      <c r="P809" s="389"/>
    </row>
    <row r="810" spans="5:16">
      <c r="E810" s="389"/>
      <c r="F810" s="389"/>
      <c r="G810" s="389"/>
      <c r="H810" s="389"/>
      <c r="I810" s="389"/>
      <c r="J810" s="389"/>
      <c r="K810" s="389"/>
      <c r="L810" s="389"/>
      <c r="M810" s="389"/>
      <c r="N810" s="389"/>
      <c r="O810" s="389"/>
      <c r="P810" s="389"/>
    </row>
    <row r="811" spans="5:16">
      <c r="E811" s="389"/>
      <c r="F811" s="389"/>
      <c r="G811" s="389"/>
      <c r="H811" s="389"/>
      <c r="I811" s="389"/>
      <c r="J811" s="389"/>
      <c r="K811" s="389"/>
      <c r="L811" s="389"/>
      <c r="M811" s="389"/>
      <c r="N811" s="389"/>
      <c r="O811" s="389"/>
      <c r="P811" s="389"/>
    </row>
    <row r="812" spans="5:16">
      <c r="E812" s="389"/>
      <c r="F812" s="389"/>
      <c r="G812" s="389"/>
      <c r="H812" s="389"/>
      <c r="I812" s="389"/>
      <c r="J812" s="389"/>
      <c r="K812" s="389"/>
      <c r="L812" s="389"/>
      <c r="M812" s="389"/>
      <c r="N812" s="389"/>
      <c r="O812" s="389"/>
      <c r="P812" s="389"/>
    </row>
    <row r="813" spans="5:16">
      <c r="E813" s="389"/>
      <c r="F813" s="389"/>
      <c r="G813" s="389"/>
      <c r="H813" s="389"/>
      <c r="I813" s="389"/>
      <c r="J813" s="389"/>
      <c r="K813" s="389"/>
      <c r="L813" s="389"/>
      <c r="M813" s="389"/>
      <c r="N813" s="389"/>
      <c r="O813" s="389"/>
      <c r="P813" s="389"/>
    </row>
    <row r="814" spans="5:16">
      <c r="E814" s="389"/>
      <c r="F814" s="389"/>
      <c r="G814" s="389"/>
      <c r="H814" s="389"/>
      <c r="I814" s="389"/>
      <c r="J814" s="389"/>
      <c r="K814" s="389"/>
      <c r="L814" s="389"/>
      <c r="M814" s="389"/>
      <c r="N814" s="389"/>
      <c r="O814" s="389"/>
      <c r="P814" s="389"/>
    </row>
    <row r="815" spans="5:16">
      <c r="E815" s="389"/>
      <c r="F815" s="389"/>
      <c r="G815" s="389"/>
      <c r="H815" s="389"/>
      <c r="I815" s="389"/>
      <c r="J815" s="389"/>
      <c r="K815" s="389"/>
      <c r="L815" s="389"/>
      <c r="M815" s="389"/>
      <c r="N815" s="389"/>
      <c r="O815" s="389"/>
      <c r="P815" s="389"/>
    </row>
    <row r="816" spans="5:16">
      <c r="E816" s="389"/>
      <c r="F816" s="389"/>
      <c r="G816" s="389"/>
      <c r="H816" s="389"/>
      <c r="I816" s="389"/>
      <c r="J816" s="389"/>
      <c r="K816" s="389"/>
      <c r="L816" s="389"/>
      <c r="M816" s="389"/>
      <c r="N816" s="389"/>
      <c r="O816" s="389"/>
      <c r="P816" s="389"/>
    </row>
    <row r="817" spans="5:16">
      <c r="E817" s="389"/>
      <c r="F817" s="389"/>
      <c r="G817" s="389"/>
      <c r="H817" s="389"/>
      <c r="I817" s="389"/>
      <c r="J817" s="389"/>
      <c r="K817" s="389"/>
      <c r="L817" s="389"/>
      <c r="M817" s="389"/>
      <c r="N817" s="389"/>
      <c r="O817" s="389"/>
      <c r="P817" s="389"/>
    </row>
    <row r="818" spans="5:16">
      <c r="E818" s="389"/>
      <c r="F818" s="389"/>
      <c r="G818" s="389"/>
      <c r="H818" s="389"/>
      <c r="I818" s="389"/>
      <c r="J818" s="389"/>
      <c r="K818" s="389"/>
      <c r="L818" s="389"/>
      <c r="M818" s="389"/>
      <c r="N818" s="389"/>
      <c r="O818" s="389"/>
      <c r="P818" s="389"/>
    </row>
    <row r="819" spans="5:16">
      <c r="E819" s="389"/>
      <c r="F819" s="389"/>
      <c r="G819" s="389"/>
      <c r="H819" s="389"/>
      <c r="I819" s="389"/>
      <c r="J819" s="389"/>
      <c r="K819" s="389"/>
      <c r="L819" s="389"/>
      <c r="M819" s="389"/>
      <c r="N819" s="389"/>
      <c r="O819" s="389"/>
      <c r="P819" s="389"/>
    </row>
    <row r="820" spans="5:16">
      <c r="E820" s="389"/>
      <c r="F820" s="389"/>
      <c r="G820" s="389"/>
      <c r="H820" s="389"/>
      <c r="I820" s="389"/>
      <c r="J820" s="389"/>
      <c r="K820" s="389"/>
      <c r="L820" s="389"/>
      <c r="M820" s="389"/>
      <c r="N820" s="389"/>
      <c r="O820" s="389"/>
      <c r="P820" s="389"/>
    </row>
    <row r="821" spans="5:16">
      <c r="E821" s="389"/>
      <c r="F821" s="389"/>
      <c r="G821" s="389"/>
      <c r="H821" s="389"/>
      <c r="I821" s="389"/>
      <c r="J821" s="389"/>
      <c r="K821" s="389"/>
      <c r="L821" s="389"/>
      <c r="M821" s="389"/>
      <c r="N821" s="389"/>
      <c r="O821" s="389"/>
      <c r="P821" s="389"/>
    </row>
    <row r="822" spans="5:16">
      <c r="E822" s="389"/>
      <c r="F822" s="389"/>
      <c r="G822" s="389"/>
      <c r="H822" s="389"/>
      <c r="I822" s="389"/>
      <c r="J822" s="389"/>
      <c r="K822" s="389"/>
      <c r="L822" s="389"/>
      <c r="M822" s="389"/>
      <c r="N822" s="389"/>
      <c r="O822" s="389"/>
      <c r="P822" s="389"/>
    </row>
    <row r="823" spans="5:16">
      <c r="E823" s="389"/>
      <c r="F823" s="389"/>
      <c r="G823" s="389"/>
      <c r="H823" s="389"/>
      <c r="I823" s="389"/>
      <c r="J823" s="389"/>
      <c r="K823" s="389"/>
      <c r="L823" s="389"/>
      <c r="M823" s="389"/>
      <c r="N823" s="389"/>
      <c r="O823" s="389"/>
      <c r="P823" s="389"/>
    </row>
    <row r="824" spans="5:16">
      <c r="E824" s="389"/>
      <c r="F824" s="389"/>
      <c r="G824" s="389"/>
      <c r="H824" s="389"/>
      <c r="I824" s="389"/>
      <c r="J824" s="389"/>
      <c r="K824" s="389"/>
      <c r="L824" s="389"/>
      <c r="M824" s="389"/>
      <c r="N824" s="389"/>
      <c r="O824" s="389"/>
      <c r="P824" s="389"/>
    </row>
    <row r="825" spans="5:16">
      <c r="E825" s="389"/>
      <c r="F825" s="389"/>
      <c r="G825" s="389"/>
      <c r="H825" s="389"/>
      <c r="I825" s="389"/>
      <c r="J825" s="389"/>
      <c r="K825" s="389"/>
      <c r="L825" s="389"/>
      <c r="M825" s="389"/>
      <c r="N825" s="389"/>
      <c r="O825" s="389"/>
      <c r="P825" s="389"/>
    </row>
    <row r="826" spans="5:16">
      <c r="E826" s="389"/>
      <c r="F826" s="389"/>
      <c r="G826" s="389"/>
      <c r="H826" s="389"/>
      <c r="I826" s="389"/>
      <c r="J826" s="389"/>
      <c r="K826" s="389"/>
      <c r="L826" s="389"/>
      <c r="M826" s="389"/>
      <c r="N826" s="389"/>
      <c r="O826" s="389"/>
      <c r="P826" s="389"/>
    </row>
    <row r="827" spans="5:16">
      <c r="E827" s="389"/>
      <c r="F827" s="389"/>
      <c r="G827" s="389"/>
      <c r="H827" s="389"/>
      <c r="I827" s="389"/>
      <c r="J827" s="389"/>
      <c r="K827" s="389"/>
      <c r="L827" s="389"/>
      <c r="M827" s="389"/>
      <c r="N827" s="389"/>
      <c r="O827" s="389"/>
      <c r="P827" s="389"/>
    </row>
    <row r="828" spans="5:16">
      <c r="E828" s="389"/>
      <c r="F828" s="389"/>
      <c r="G828" s="389"/>
      <c r="H828" s="389"/>
      <c r="I828" s="389"/>
      <c r="J828" s="389"/>
      <c r="K828" s="389"/>
      <c r="L828" s="389"/>
      <c r="M828" s="389"/>
      <c r="N828" s="389"/>
      <c r="O828" s="389"/>
      <c r="P828" s="389"/>
    </row>
    <row r="829" spans="5:16">
      <c r="E829" s="389"/>
      <c r="F829" s="389"/>
      <c r="G829" s="389"/>
      <c r="H829" s="389"/>
      <c r="I829" s="389"/>
      <c r="J829" s="389"/>
      <c r="K829" s="389"/>
      <c r="L829" s="389"/>
      <c r="M829" s="389"/>
      <c r="N829" s="389"/>
      <c r="O829" s="389"/>
      <c r="P829" s="389"/>
    </row>
    <row r="830" spans="5:16">
      <c r="E830" s="389"/>
      <c r="F830" s="389"/>
      <c r="G830" s="389"/>
      <c r="H830" s="389"/>
      <c r="I830" s="389"/>
      <c r="J830" s="389"/>
      <c r="K830" s="389"/>
      <c r="L830" s="389"/>
      <c r="M830" s="389"/>
      <c r="N830" s="389"/>
      <c r="O830" s="389"/>
      <c r="P830" s="389"/>
    </row>
    <row r="831" spans="5:16">
      <c r="E831" s="389"/>
      <c r="F831" s="389"/>
      <c r="G831" s="389"/>
      <c r="H831" s="389"/>
      <c r="I831" s="389"/>
      <c r="J831" s="389"/>
      <c r="K831" s="389"/>
      <c r="L831" s="389"/>
      <c r="M831" s="389"/>
      <c r="N831" s="389"/>
      <c r="O831" s="389"/>
      <c r="P831" s="389"/>
    </row>
    <row r="832" spans="5:16">
      <c r="E832" s="389"/>
      <c r="F832" s="389"/>
      <c r="G832" s="389"/>
      <c r="H832" s="389"/>
      <c r="I832" s="389"/>
      <c r="J832" s="389"/>
      <c r="K832" s="389"/>
      <c r="L832" s="389"/>
      <c r="M832" s="389"/>
      <c r="N832" s="389"/>
      <c r="O832" s="389"/>
      <c r="P832" s="389"/>
    </row>
    <row r="833" spans="5:16">
      <c r="E833" s="389"/>
      <c r="F833" s="389"/>
      <c r="G833" s="389"/>
      <c r="H833" s="389"/>
      <c r="I833" s="389"/>
      <c r="J833" s="389"/>
      <c r="K833" s="389"/>
      <c r="L833" s="389"/>
      <c r="M833" s="389"/>
      <c r="N833" s="389"/>
      <c r="O833" s="389"/>
      <c r="P833" s="389"/>
    </row>
    <row r="834" spans="5:16">
      <c r="E834" s="389"/>
      <c r="F834" s="389"/>
      <c r="G834" s="389"/>
      <c r="H834" s="389"/>
      <c r="I834" s="389"/>
      <c r="J834" s="389"/>
      <c r="K834" s="389"/>
      <c r="L834" s="389"/>
      <c r="M834" s="389"/>
      <c r="N834" s="389"/>
      <c r="O834" s="389"/>
      <c r="P834" s="389"/>
    </row>
    <row r="835" spans="5:16">
      <c r="E835" s="389"/>
      <c r="F835" s="389"/>
      <c r="G835" s="389"/>
      <c r="H835" s="389"/>
      <c r="I835" s="389"/>
      <c r="J835" s="389"/>
      <c r="K835" s="389"/>
      <c r="L835" s="389"/>
      <c r="M835" s="389"/>
      <c r="N835" s="389"/>
      <c r="O835" s="389"/>
      <c r="P835" s="389"/>
    </row>
    <row r="836" spans="5:16">
      <c r="E836" s="389"/>
      <c r="F836" s="389"/>
      <c r="G836" s="389"/>
      <c r="H836" s="389"/>
      <c r="I836" s="389"/>
      <c r="J836" s="389"/>
      <c r="K836" s="389"/>
      <c r="L836" s="389"/>
      <c r="M836" s="389"/>
      <c r="N836" s="389"/>
      <c r="O836" s="389"/>
      <c r="P836" s="389"/>
    </row>
    <row r="837" spans="5:16">
      <c r="E837" s="389"/>
      <c r="F837" s="389"/>
      <c r="G837" s="389"/>
      <c r="H837" s="389"/>
      <c r="I837" s="389"/>
      <c r="J837" s="389"/>
      <c r="K837" s="389"/>
      <c r="L837" s="389"/>
      <c r="M837" s="389"/>
      <c r="N837" s="389"/>
      <c r="O837" s="389"/>
      <c r="P837" s="389"/>
    </row>
    <row r="838" spans="5:16">
      <c r="E838" s="389"/>
      <c r="F838" s="389"/>
      <c r="G838" s="389"/>
      <c r="H838" s="389"/>
      <c r="I838" s="389"/>
      <c r="J838" s="389"/>
      <c r="K838" s="389"/>
      <c r="L838" s="389"/>
      <c r="M838" s="389"/>
      <c r="N838" s="389"/>
      <c r="O838" s="389"/>
      <c r="P838" s="389"/>
    </row>
    <row r="839" spans="5:16">
      <c r="E839" s="389"/>
      <c r="F839" s="389"/>
      <c r="G839" s="389"/>
      <c r="H839" s="389"/>
      <c r="I839" s="389"/>
      <c r="J839" s="389"/>
      <c r="K839" s="389"/>
      <c r="L839" s="389"/>
      <c r="M839" s="389"/>
      <c r="N839" s="389"/>
      <c r="O839" s="389"/>
      <c r="P839" s="389"/>
    </row>
    <row r="840" spans="5:16">
      <c r="E840" s="389"/>
      <c r="F840" s="389"/>
      <c r="G840" s="389"/>
      <c r="H840" s="389"/>
      <c r="I840" s="389"/>
      <c r="J840" s="389"/>
      <c r="K840" s="389"/>
      <c r="L840" s="389"/>
      <c r="M840" s="389"/>
      <c r="N840" s="389"/>
      <c r="O840" s="389"/>
      <c r="P840" s="389"/>
    </row>
    <row r="841" spans="5:16">
      <c r="E841" s="389"/>
      <c r="F841" s="389"/>
      <c r="G841" s="389"/>
      <c r="H841" s="389"/>
      <c r="I841" s="389"/>
      <c r="J841" s="389"/>
      <c r="K841" s="389"/>
      <c r="L841" s="389"/>
      <c r="M841" s="389"/>
      <c r="N841" s="389"/>
      <c r="O841" s="389"/>
      <c r="P841" s="389"/>
    </row>
    <row r="842" spans="5:16">
      <c r="E842" s="389"/>
      <c r="F842" s="389"/>
      <c r="G842" s="389"/>
      <c r="H842" s="389"/>
      <c r="I842" s="389"/>
      <c r="J842" s="389"/>
      <c r="K842" s="389"/>
      <c r="L842" s="389"/>
      <c r="M842" s="389"/>
      <c r="N842" s="389"/>
      <c r="O842" s="389"/>
      <c r="P842" s="389"/>
    </row>
    <row r="843" spans="5:16">
      <c r="E843" s="389"/>
      <c r="F843" s="389"/>
      <c r="G843" s="389"/>
      <c r="H843" s="389"/>
      <c r="I843" s="389"/>
      <c r="J843" s="389"/>
      <c r="K843" s="389"/>
      <c r="L843" s="389"/>
      <c r="M843" s="389"/>
      <c r="N843" s="389"/>
      <c r="O843" s="389"/>
      <c r="P843" s="389"/>
    </row>
    <row r="844" spans="5:16">
      <c r="E844" s="389"/>
      <c r="F844" s="389"/>
      <c r="G844" s="389"/>
      <c r="H844" s="389"/>
      <c r="I844" s="389"/>
      <c r="J844" s="389"/>
      <c r="K844" s="389"/>
      <c r="L844" s="389"/>
      <c r="M844" s="389"/>
      <c r="N844" s="389"/>
      <c r="O844" s="389"/>
      <c r="P844" s="389"/>
    </row>
    <row r="845" spans="5:16">
      <c r="E845" s="389"/>
      <c r="F845" s="389"/>
      <c r="G845" s="389"/>
      <c r="H845" s="389"/>
      <c r="I845" s="389"/>
      <c r="J845" s="389"/>
      <c r="K845" s="389"/>
      <c r="L845" s="389"/>
      <c r="M845" s="389"/>
      <c r="N845" s="389"/>
      <c r="O845" s="389"/>
      <c r="P845" s="389"/>
    </row>
    <row r="846" spans="5:16">
      <c r="E846" s="389"/>
      <c r="F846" s="389"/>
      <c r="G846" s="389"/>
      <c r="H846" s="389"/>
      <c r="I846" s="389"/>
      <c r="J846" s="389"/>
      <c r="K846" s="389"/>
      <c r="L846" s="389"/>
      <c r="M846" s="389"/>
      <c r="N846" s="389"/>
      <c r="O846" s="389"/>
      <c r="P846" s="389"/>
    </row>
    <row r="847" spans="5:16">
      <c r="E847" s="389"/>
      <c r="F847" s="389"/>
      <c r="G847" s="389"/>
      <c r="H847" s="389"/>
      <c r="I847" s="389"/>
      <c r="J847" s="389"/>
      <c r="K847" s="389"/>
      <c r="L847" s="389"/>
      <c r="M847" s="389"/>
      <c r="N847" s="389"/>
      <c r="O847" s="389"/>
      <c r="P847" s="389"/>
    </row>
    <row r="848" spans="5:16">
      <c r="E848" s="389"/>
      <c r="F848" s="389"/>
      <c r="G848" s="389"/>
      <c r="H848" s="389"/>
      <c r="I848" s="389"/>
      <c r="J848" s="389"/>
      <c r="K848" s="389"/>
      <c r="L848" s="389"/>
      <c r="M848" s="389"/>
      <c r="N848" s="389"/>
      <c r="O848" s="389"/>
      <c r="P848" s="389"/>
    </row>
    <row r="849" spans="5:16">
      <c r="E849" s="389"/>
      <c r="F849" s="389"/>
      <c r="G849" s="389"/>
      <c r="H849" s="389"/>
      <c r="I849" s="389"/>
      <c r="J849" s="389"/>
      <c r="K849" s="389"/>
      <c r="L849" s="389"/>
      <c r="M849" s="389"/>
      <c r="N849" s="389"/>
      <c r="O849" s="389"/>
      <c r="P849" s="389"/>
    </row>
    <row r="850" spans="5:16">
      <c r="E850" s="389"/>
      <c r="F850" s="389"/>
      <c r="G850" s="389"/>
      <c r="H850" s="389"/>
      <c r="I850" s="389"/>
      <c r="J850" s="389"/>
      <c r="K850" s="389"/>
      <c r="L850" s="389"/>
      <c r="M850" s="389"/>
      <c r="N850" s="389"/>
      <c r="O850" s="389"/>
      <c r="P850" s="389"/>
    </row>
    <row r="851" spans="5:16">
      <c r="E851" s="389"/>
      <c r="F851" s="389"/>
      <c r="G851" s="389"/>
      <c r="H851" s="389"/>
      <c r="I851" s="389"/>
      <c r="J851" s="389"/>
      <c r="K851" s="389"/>
      <c r="L851" s="389"/>
      <c r="M851" s="389"/>
      <c r="N851" s="389"/>
      <c r="O851" s="389"/>
      <c r="P851" s="389"/>
    </row>
    <row r="852" spans="5:16">
      <c r="E852" s="389"/>
      <c r="F852" s="389"/>
      <c r="G852" s="389"/>
      <c r="H852" s="389"/>
      <c r="I852" s="389"/>
      <c r="J852" s="389"/>
      <c r="K852" s="389"/>
      <c r="L852" s="389"/>
      <c r="M852" s="389"/>
      <c r="N852" s="389"/>
      <c r="O852" s="389"/>
      <c r="P852" s="389"/>
    </row>
    <row r="853" spans="5:16">
      <c r="E853" s="389"/>
      <c r="F853" s="389"/>
      <c r="G853" s="389"/>
      <c r="H853" s="389"/>
      <c r="I853" s="389"/>
      <c r="J853" s="389"/>
      <c r="K853" s="389"/>
      <c r="L853" s="389"/>
      <c r="M853" s="389"/>
      <c r="N853" s="389"/>
      <c r="O853" s="389"/>
      <c r="P853" s="389"/>
    </row>
    <row r="854" spans="5:16">
      <c r="E854" s="389"/>
      <c r="F854" s="389"/>
      <c r="G854" s="389"/>
      <c r="H854" s="389"/>
      <c r="I854" s="389"/>
      <c r="J854" s="389"/>
      <c r="K854" s="389"/>
      <c r="L854" s="389"/>
      <c r="M854" s="389"/>
      <c r="N854" s="389"/>
      <c r="O854" s="389"/>
      <c r="P854" s="389"/>
    </row>
    <row r="855" spans="5:16">
      <c r="E855" s="389"/>
      <c r="F855" s="389"/>
      <c r="G855" s="389"/>
      <c r="H855" s="389"/>
      <c r="I855" s="389"/>
      <c r="J855" s="389"/>
      <c r="K855" s="389"/>
      <c r="L855" s="389"/>
      <c r="M855" s="389"/>
      <c r="N855" s="389"/>
      <c r="O855" s="389"/>
      <c r="P855" s="389"/>
    </row>
    <row r="856" spans="5:16">
      <c r="E856" s="389"/>
      <c r="F856" s="389"/>
      <c r="G856" s="389"/>
      <c r="H856" s="389"/>
      <c r="I856" s="389"/>
      <c r="J856" s="389"/>
      <c r="K856" s="389"/>
      <c r="L856" s="389"/>
      <c r="M856" s="389"/>
      <c r="N856" s="389"/>
      <c r="O856" s="389"/>
      <c r="P856" s="389"/>
    </row>
    <row r="857" spans="5:16">
      <c r="E857" s="389"/>
      <c r="F857" s="389"/>
      <c r="G857" s="389"/>
      <c r="H857" s="389"/>
      <c r="I857" s="389"/>
      <c r="J857" s="389"/>
      <c r="K857" s="389"/>
      <c r="L857" s="389"/>
      <c r="M857" s="389"/>
      <c r="N857" s="389"/>
      <c r="O857" s="389"/>
      <c r="P857" s="389"/>
    </row>
    <row r="858" spans="5:16">
      <c r="E858" s="389"/>
      <c r="F858" s="389"/>
      <c r="G858" s="389"/>
      <c r="H858" s="389"/>
      <c r="I858" s="389"/>
      <c r="J858" s="389"/>
      <c r="K858" s="389"/>
      <c r="L858" s="389"/>
      <c r="M858" s="389"/>
      <c r="N858" s="389"/>
      <c r="O858" s="389"/>
      <c r="P858" s="389"/>
    </row>
    <row r="859" spans="5:16">
      <c r="E859" s="389"/>
      <c r="F859" s="389"/>
      <c r="G859" s="389"/>
      <c r="H859" s="389"/>
      <c r="I859" s="389"/>
      <c r="J859" s="389"/>
      <c r="K859" s="389"/>
      <c r="L859" s="389"/>
      <c r="M859" s="389"/>
      <c r="N859" s="389"/>
      <c r="O859" s="389"/>
      <c r="P859" s="389"/>
    </row>
    <row r="860" spans="5:16">
      <c r="E860" s="389"/>
      <c r="F860" s="389"/>
      <c r="G860" s="389"/>
      <c r="H860" s="389"/>
      <c r="I860" s="389"/>
      <c r="J860" s="389"/>
      <c r="K860" s="389"/>
      <c r="L860" s="389"/>
      <c r="M860" s="389"/>
      <c r="N860" s="389"/>
      <c r="O860" s="389"/>
      <c r="P860" s="389"/>
    </row>
    <row r="861" spans="5:16">
      <c r="E861" s="389"/>
      <c r="F861" s="389"/>
      <c r="G861" s="389"/>
      <c r="H861" s="389"/>
      <c r="I861" s="389"/>
      <c r="J861" s="389"/>
      <c r="K861" s="389"/>
      <c r="L861" s="389"/>
      <c r="M861" s="389"/>
      <c r="N861" s="389"/>
      <c r="O861" s="389"/>
      <c r="P861" s="389"/>
    </row>
    <row r="862" spans="5:16">
      <c r="E862" s="389"/>
      <c r="F862" s="389"/>
      <c r="G862" s="389"/>
      <c r="H862" s="389"/>
      <c r="I862" s="389"/>
      <c r="J862" s="389"/>
      <c r="K862" s="389"/>
      <c r="L862" s="389"/>
      <c r="M862" s="389"/>
      <c r="N862" s="389"/>
      <c r="O862" s="389"/>
      <c r="P862" s="389"/>
    </row>
    <row r="863" spans="5:16">
      <c r="E863" s="389"/>
      <c r="F863" s="389"/>
      <c r="G863" s="389"/>
      <c r="H863" s="389"/>
      <c r="I863" s="389"/>
      <c r="J863" s="389"/>
      <c r="K863" s="389"/>
      <c r="L863" s="389"/>
      <c r="M863" s="389"/>
      <c r="N863" s="389"/>
      <c r="O863" s="389"/>
      <c r="P863" s="389"/>
    </row>
    <row r="864" spans="5:16">
      <c r="E864" s="389"/>
      <c r="F864" s="389"/>
      <c r="G864" s="389"/>
      <c r="H864" s="389"/>
      <c r="I864" s="389"/>
      <c r="J864" s="389"/>
      <c r="K864" s="389"/>
      <c r="L864" s="389"/>
      <c r="M864" s="389"/>
      <c r="N864" s="389"/>
      <c r="O864" s="389"/>
      <c r="P864" s="389"/>
    </row>
    <row r="865" spans="5:16">
      <c r="E865" s="389"/>
      <c r="F865" s="389"/>
      <c r="G865" s="389"/>
      <c r="H865" s="389"/>
      <c r="I865" s="389"/>
      <c r="J865" s="389"/>
      <c r="K865" s="389"/>
      <c r="L865" s="389"/>
      <c r="M865" s="389"/>
      <c r="N865" s="389"/>
      <c r="O865" s="389"/>
      <c r="P865" s="389"/>
    </row>
    <row r="866" spans="5:16">
      <c r="E866" s="389"/>
      <c r="F866" s="389"/>
      <c r="G866" s="389"/>
      <c r="H866" s="389"/>
      <c r="I866" s="389"/>
      <c r="J866" s="389"/>
      <c r="K866" s="389"/>
      <c r="L866" s="389"/>
      <c r="M866" s="389"/>
      <c r="N866" s="389"/>
      <c r="O866" s="389"/>
      <c r="P866" s="389"/>
    </row>
    <row r="867" spans="5:16">
      <c r="E867" s="389"/>
      <c r="F867" s="389"/>
      <c r="G867" s="389"/>
      <c r="H867" s="389"/>
      <c r="I867" s="389"/>
      <c r="J867" s="389"/>
      <c r="K867" s="389"/>
      <c r="L867" s="389"/>
      <c r="M867" s="389"/>
      <c r="N867" s="389"/>
      <c r="O867" s="389"/>
      <c r="P867" s="389"/>
    </row>
    <row r="868" spans="5:16">
      <c r="E868" s="389"/>
      <c r="F868" s="389"/>
      <c r="G868" s="389"/>
      <c r="H868" s="389"/>
      <c r="I868" s="389"/>
      <c r="J868" s="389"/>
      <c r="K868" s="389"/>
      <c r="L868" s="389"/>
      <c r="M868" s="389"/>
      <c r="N868" s="389"/>
      <c r="O868" s="389"/>
      <c r="P868" s="389"/>
    </row>
    <row r="869" spans="5:16">
      <c r="E869" s="389"/>
      <c r="F869" s="389"/>
      <c r="G869" s="389"/>
      <c r="H869" s="389"/>
      <c r="I869" s="389"/>
      <c r="J869" s="389"/>
      <c r="K869" s="389"/>
      <c r="L869" s="389"/>
      <c r="M869" s="389"/>
      <c r="N869" s="389"/>
      <c r="O869" s="389"/>
      <c r="P869" s="389"/>
    </row>
    <row r="870" spans="5:16">
      <c r="E870" s="389"/>
      <c r="F870" s="389"/>
      <c r="G870" s="389"/>
      <c r="H870" s="389"/>
      <c r="I870" s="389"/>
      <c r="J870" s="389"/>
      <c r="K870" s="389"/>
      <c r="L870" s="389"/>
      <c r="M870" s="389"/>
      <c r="N870" s="389"/>
      <c r="O870" s="389"/>
      <c r="P870" s="389"/>
    </row>
    <row r="871" spans="5:16">
      <c r="E871" s="389"/>
      <c r="F871" s="389"/>
      <c r="G871" s="389"/>
      <c r="H871" s="389"/>
      <c r="I871" s="389"/>
      <c r="J871" s="389"/>
      <c r="K871" s="389"/>
      <c r="L871" s="389"/>
      <c r="M871" s="389"/>
      <c r="N871" s="389"/>
      <c r="O871" s="389"/>
      <c r="P871" s="389"/>
    </row>
    <row r="872" spans="5:16">
      <c r="E872" s="389"/>
      <c r="F872" s="389"/>
      <c r="G872" s="389"/>
      <c r="H872" s="389"/>
      <c r="I872" s="389"/>
      <c r="J872" s="389"/>
      <c r="K872" s="389"/>
      <c r="L872" s="389"/>
      <c r="M872" s="389"/>
      <c r="N872" s="389"/>
      <c r="O872" s="389"/>
      <c r="P872" s="389"/>
    </row>
    <row r="873" spans="5:16">
      <c r="E873" s="389"/>
      <c r="F873" s="389"/>
      <c r="G873" s="389"/>
      <c r="H873" s="389"/>
      <c r="I873" s="389"/>
      <c r="J873" s="389"/>
      <c r="K873" s="389"/>
      <c r="L873" s="389"/>
      <c r="M873" s="389"/>
      <c r="N873" s="389"/>
      <c r="O873" s="389"/>
      <c r="P873" s="389"/>
    </row>
    <row r="874" spans="5:16">
      <c r="E874" s="389"/>
      <c r="F874" s="389"/>
      <c r="G874" s="389"/>
      <c r="H874" s="389"/>
      <c r="I874" s="389"/>
      <c r="J874" s="389"/>
      <c r="K874" s="389"/>
      <c r="L874" s="389"/>
      <c r="M874" s="389"/>
      <c r="N874" s="389"/>
      <c r="O874" s="389"/>
      <c r="P874" s="389"/>
    </row>
    <row r="875" spans="5:16">
      <c r="E875" s="389"/>
      <c r="F875" s="389"/>
      <c r="G875" s="389"/>
      <c r="H875" s="389"/>
      <c r="I875" s="389"/>
      <c r="J875" s="389"/>
      <c r="K875" s="389"/>
      <c r="L875" s="389"/>
      <c r="M875" s="389"/>
      <c r="N875" s="389"/>
      <c r="O875" s="389"/>
      <c r="P875" s="389"/>
    </row>
    <row r="876" spans="5:16">
      <c r="E876" s="389"/>
      <c r="F876" s="389"/>
      <c r="G876" s="389"/>
      <c r="H876" s="389"/>
      <c r="I876" s="389"/>
      <c r="J876" s="389"/>
      <c r="K876" s="389"/>
      <c r="L876" s="389"/>
      <c r="M876" s="389"/>
      <c r="N876" s="389"/>
      <c r="O876" s="389"/>
      <c r="P876" s="389"/>
    </row>
    <row r="877" spans="5:16">
      <c r="E877" s="389"/>
      <c r="F877" s="389"/>
      <c r="G877" s="389"/>
      <c r="H877" s="389"/>
      <c r="I877" s="389"/>
      <c r="J877" s="389"/>
      <c r="K877" s="389"/>
      <c r="L877" s="389"/>
      <c r="M877" s="389"/>
      <c r="N877" s="389"/>
      <c r="O877" s="389"/>
      <c r="P877" s="389"/>
    </row>
    <row r="878" spans="5:16">
      <c r="E878" s="389"/>
      <c r="F878" s="389"/>
      <c r="G878" s="389"/>
      <c r="H878" s="389"/>
      <c r="I878" s="389"/>
      <c r="J878" s="389"/>
      <c r="K878" s="389"/>
      <c r="L878" s="389"/>
      <c r="M878" s="389"/>
      <c r="N878" s="389"/>
      <c r="O878" s="389"/>
      <c r="P878" s="389"/>
    </row>
    <row r="879" spans="5:16">
      <c r="E879" s="389"/>
      <c r="F879" s="389"/>
      <c r="G879" s="389"/>
      <c r="H879" s="389"/>
      <c r="I879" s="389"/>
      <c r="J879" s="389"/>
      <c r="K879" s="389"/>
      <c r="L879" s="389"/>
      <c r="M879" s="389"/>
      <c r="N879" s="389"/>
      <c r="O879" s="389"/>
      <c r="P879" s="389"/>
    </row>
    <row r="880" spans="5:16">
      <c r="E880" s="389"/>
      <c r="F880" s="389"/>
      <c r="G880" s="389"/>
      <c r="H880" s="389"/>
      <c r="I880" s="389"/>
      <c r="J880" s="389"/>
      <c r="K880" s="389"/>
      <c r="L880" s="389"/>
      <c r="M880" s="389"/>
      <c r="N880" s="389"/>
      <c r="O880" s="389"/>
      <c r="P880" s="389"/>
    </row>
    <row r="881" spans="5:16">
      <c r="E881" s="389"/>
      <c r="F881" s="389"/>
      <c r="G881" s="389"/>
      <c r="H881" s="389"/>
      <c r="I881" s="389"/>
      <c r="J881" s="389"/>
      <c r="K881" s="389"/>
      <c r="L881" s="389"/>
      <c r="M881" s="389"/>
      <c r="N881" s="389"/>
      <c r="O881" s="389"/>
      <c r="P881" s="389"/>
    </row>
    <row r="882" spans="5:16">
      <c r="E882" s="389"/>
      <c r="F882" s="389"/>
      <c r="G882" s="389"/>
      <c r="H882" s="389"/>
      <c r="I882" s="389"/>
      <c r="J882" s="389"/>
      <c r="K882" s="389"/>
      <c r="L882" s="389"/>
      <c r="M882" s="389"/>
      <c r="N882" s="389"/>
      <c r="O882" s="389"/>
      <c r="P882" s="389"/>
    </row>
    <row r="883" spans="5:16">
      <c r="E883" s="389"/>
      <c r="F883" s="389"/>
      <c r="G883" s="389"/>
      <c r="H883" s="389"/>
      <c r="I883" s="389"/>
      <c r="J883" s="389"/>
      <c r="K883" s="389"/>
      <c r="L883" s="389"/>
      <c r="M883" s="389"/>
      <c r="N883" s="389"/>
      <c r="O883" s="389"/>
      <c r="P883" s="389"/>
    </row>
    <row r="884" spans="5:16">
      <c r="E884" s="389"/>
      <c r="F884" s="389"/>
      <c r="G884" s="389"/>
      <c r="H884" s="389"/>
      <c r="I884" s="389"/>
      <c r="J884" s="389"/>
      <c r="K884" s="389"/>
      <c r="L884" s="389"/>
      <c r="M884" s="389"/>
      <c r="N884" s="389"/>
      <c r="O884" s="389"/>
      <c r="P884" s="389"/>
    </row>
    <row r="885" spans="5:16">
      <c r="E885" s="389"/>
      <c r="F885" s="389"/>
      <c r="G885" s="389"/>
      <c r="H885" s="389"/>
      <c r="I885" s="389"/>
      <c r="J885" s="389"/>
      <c r="K885" s="389"/>
      <c r="L885" s="389"/>
      <c r="M885" s="389"/>
      <c r="N885" s="389"/>
      <c r="O885" s="389"/>
      <c r="P885" s="389"/>
    </row>
    <row r="886" spans="5:16">
      <c r="E886" s="389"/>
      <c r="F886" s="389"/>
      <c r="G886" s="389"/>
      <c r="H886" s="389"/>
      <c r="I886" s="389"/>
      <c r="J886" s="389"/>
      <c r="K886" s="389"/>
      <c r="L886" s="389"/>
      <c r="M886" s="389"/>
      <c r="N886" s="389"/>
      <c r="O886" s="389"/>
      <c r="P886" s="389"/>
    </row>
    <row r="887" spans="5:16">
      <c r="E887" s="389"/>
      <c r="F887" s="389"/>
      <c r="G887" s="389"/>
      <c r="H887" s="389"/>
      <c r="I887" s="389"/>
      <c r="J887" s="389"/>
      <c r="K887" s="389"/>
      <c r="L887" s="389"/>
      <c r="M887" s="389"/>
      <c r="N887" s="389"/>
      <c r="O887" s="389"/>
      <c r="P887" s="389"/>
    </row>
    <row r="888" spans="5:16">
      <c r="E888" s="389"/>
      <c r="F888" s="389"/>
      <c r="G888" s="389"/>
      <c r="H888" s="389"/>
      <c r="I888" s="389"/>
      <c r="J888" s="389"/>
      <c r="K888" s="389"/>
      <c r="L888" s="389"/>
      <c r="M888" s="389"/>
      <c r="N888" s="389"/>
      <c r="O888" s="389"/>
      <c r="P888" s="389"/>
    </row>
    <row r="889" spans="5:16">
      <c r="E889" s="389"/>
      <c r="F889" s="389"/>
      <c r="G889" s="389"/>
      <c r="H889" s="389"/>
      <c r="I889" s="389"/>
      <c r="J889" s="389"/>
      <c r="K889" s="389"/>
      <c r="L889" s="389"/>
      <c r="M889" s="389"/>
      <c r="N889" s="389"/>
      <c r="O889" s="389"/>
      <c r="P889" s="389"/>
    </row>
    <row r="890" spans="5:16">
      <c r="E890" s="389"/>
      <c r="F890" s="389"/>
      <c r="G890" s="389"/>
      <c r="H890" s="389"/>
      <c r="I890" s="389"/>
      <c r="J890" s="389"/>
      <c r="K890" s="389"/>
      <c r="L890" s="389"/>
      <c r="M890" s="389"/>
      <c r="N890" s="389"/>
      <c r="O890" s="389"/>
      <c r="P890" s="389"/>
    </row>
    <row r="891" spans="5:16">
      <c r="E891" s="389"/>
      <c r="F891" s="389"/>
      <c r="G891" s="389"/>
      <c r="H891" s="389"/>
      <c r="I891" s="389"/>
      <c r="J891" s="389"/>
      <c r="K891" s="389"/>
      <c r="L891" s="389"/>
      <c r="M891" s="389"/>
      <c r="N891" s="389"/>
      <c r="O891" s="389"/>
      <c r="P891" s="389"/>
    </row>
    <row r="892" spans="5:16">
      <c r="E892" s="389"/>
      <c r="F892" s="389"/>
      <c r="G892" s="389"/>
      <c r="H892" s="389"/>
      <c r="I892" s="389"/>
      <c r="J892" s="389"/>
      <c r="K892" s="389"/>
      <c r="L892" s="389"/>
      <c r="M892" s="389"/>
      <c r="N892" s="389"/>
      <c r="O892" s="389"/>
      <c r="P892" s="389"/>
    </row>
    <row r="893" spans="5:16">
      <c r="E893" s="389"/>
      <c r="F893" s="389"/>
      <c r="G893" s="389"/>
      <c r="H893" s="389"/>
      <c r="I893" s="389"/>
      <c r="J893" s="389"/>
      <c r="K893" s="389"/>
      <c r="L893" s="389"/>
      <c r="M893" s="389"/>
      <c r="N893" s="389"/>
      <c r="O893" s="389"/>
      <c r="P893" s="389"/>
    </row>
    <row r="894" spans="5:16">
      <c r="E894" s="389"/>
      <c r="F894" s="389"/>
      <c r="G894" s="389"/>
      <c r="H894" s="389"/>
      <c r="I894" s="389"/>
      <c r="J894" s="389"/>
      <c r="K894" s="389"/>
      <c r="L894" s="389"/>
      <c r="M894" s="389"/>
      <c r="N894" s="389"/>
      <c r="O894" s="389"/>
      <c r="P894" s="389"/>
    </row>
    <row r="895" spans="5:16">
      <c r="E895" s="389"/>
      <c r="F895" s="389"/>
      <c r="G895" s="389"/>
      <c r="H895" s="389"/>
      <c r="I895" s="389"/>
      <c r="J895" s="389"/>
      <c r="K895" s="389"/>
      <c r="L895" s="389"/>
      <c r="M895" s="389"/>
      <c r="N895" s="389"/>
      <c r="O895" s="389"/>
      <c r="P895" s="389"/>
    </row>
    <row r="896" spans="5:16">
      <c r="E896" s="389"/>
      <c r="F896" s="389"/>
      <c r="G896" s="389"/>
      <c r="H896" s="389"/>
      <c r="I896" s="389"/>
      <c r="J896" s="389"/>
      <c r="K896" s="389"/>
      <c r="L896" s="389"/>
      <c r="M896" s="389"/>
      <c r="N896" s="389"/>
      <c r="O896" s="389"/>
      <c r="P896" s="389"/>
    </row>
    <row r="897" spans="5:16">
      <c r="E897" s="389"/>
      <c r="F897" s="389"/>
      <c r="G897" s="389"/>
      <c r="H897" s="389"/>
      <c r="I897" s="389"/>
      <c r="J897" s="389"/>
      <c r="K897" s="389"/>
      <c r="L897" s="389"/>
      <c r="M897" s="389"/>
      <c r="N897" s="389"/>
      <c r="O897" s="389"/>
      <c r="P897" s="389"/>
    </row>
    <row r="898" spans="5:16">
      <c r="E898" s="389"/>
      <c r="F898" s="389"/>
      <c r="G898" s="389"/>
      <c r="H898" s="389"/>
      <c r="I898" s="389"/>
      <c r="J898" s="389"/>
      <c r="K898" s="389"/>
      <c r="L898" s="389"/>
      <c r="M898" s="389"/>
      <c r="N898" s="389"/>
      <c r="O898" s="389"/>
      <c r="P898" s="389"/>
    </row>
    <row r="899" spans="5:16">
      <c r="E899" s="389"/>
      <c r="F899" s="389"/>
      <c r="G899" s="389"/>
      <c r="H899" s="389"/>
      <c r="I899" s="389"/>
      <c r="J899" s="389"/>
      <c r="K899" s="389"/>
      <c r="L899" s="389"/>
      <c r="M899" s="389"/>
      <c r="N899" s="389"/>
      <c r="O899" s="389"/>
      <c r="P899" s="389"/>
    </row>
    <row r="900" spans="5:16">
      <c r="E900" s="389"/>
      <c r="F900" s="389"/>
      <c r="G900" s="389"/>
      <c r="H900" s="389"/>
      <c r="I900" s="389"/>
      <c r="J900" s="389"/>
      <c r="K900" s="389"/>
      <c r="L900" s="389"/>
      <c r="M900" s="389"/>
      <c r="N900" s="389"/>
      <c r="O900" s="389"/>
      <c r="P900" s="389"/>
    </row>
    <row r="901" spans="5:16">
      <c r="E901" s="389"/>
      <c r="F901" s="389"/>
      <c r="G901" s="389"/>
      <c r="H901" s="389"/>
      <c r="I901" s="389"/>
      <c r="J901" s="389"/>
      <c r="K901" s="389"/>
      <c r="L901" s="389"/>
      <c r="M901" s="389"/>
      <c r="N901" s="389"/>
      <c r="O901" s="389"/>
      <c r="P901" s="389"/>
    </row>
    <row r="902" spans="5:16">
      <c r="E902" s="389"/>
      <c r="F902" s="389"/>
      <c r="G902" s="389"/>
      <c r="H902" s="389"/>
      <c r="I902" s="389"/>
      <c r="J902" s="389"/>
      <c r="K902" s="389"/>
      <c r="L902" s="389"/>
      <c r="M902" s="389"/>
      <c r="N902" s="389"/>
      <c r="O902" s="389"/>
      <c r="P902" s="389"/>
    </row>
    <row r="903" spans="5:16">
      <c r="E903" s="389"/>
      <c r="F903" s="389"/>
      <c r="G903" s="389"/>
      <c r="H903" s="389"/>
      <c r="I903" s="389"/>
      <c r="J903" s="389"/>
      <c r="K903" s="389"/>
      <c r="L903" s="389"/>
      <c r="M903" s="389"/>
      <c r="N903" s="389"/>
      <c r="O903" s="389"/>
      <c r="P903" s="389"/>
    </row>
    <row r="904" spans="5:16">
      <c r="E904" s="389"/>
      <c r="F904" s="389"/>
      <c r="G904" s="389"/>
      <c r="H904" s="389"/>
      <c r="I904" s="389"/>
      <c r="J904" s="389"/>
      <c r="K904" s="389"/>
      <c r="L904" s="389"/>
      <c r="M904" s="389"/>
      <c r="N904" s="389"/>
      <c r="O904" s="389"/>
      <c r="P904" s="389"/>
    </row>
    <row r="905" spans="5:16">
      <c r="E905" s="389"/>
      <c r="F905" s="389"/>
      <c r="G905" s="389"/>
      <c r="H905" s="389"/>
      <c r="I905" s="389"/>
      <c r="J905" s="389"/>
      <c r="K905" s="389"/>
      <c r="L905" s="389"/>
      <c r="M905" s="389"/>
      <c r="N905" s="389"/>
      <c r="O905" s="389"/>
      <c r="P905" s="389"/>
    </row>
    <row r="906" spans="5:16">
      <c r="E906" s="389"/>
      <c r="F906" s="389"/>
      <c r="G906" s="389"/>
      <c r="H906" s="389"/>
      <c r="I906" s="389"/>
      <c r="J906" s="389"/>
      <c r="K906" s="389"/>
      <c r="L906" s="389"/>
      <c r="M906" s="389"/>
      <c r="N906" s="389"/>
      <c r="O906" s="389"/>
      <c r="P906" s="389"/>
    </row>
    <row r="907" spans="5:16">
      <c r="E907" s="389"/>
      <c r="F907" s="389"/>
      <c r="G907" s="389"/>
      <c r="H907" s="389"/>
      <c r="I907" s="389"/>
      <c r="J907" s="389"/>
      <c r="K907" s="389"/>
      <c r="L907" s="389"/>
      <c r="M907" s="389"/>
      <c r="N907" s="389"/>
      <c r="O907" s="389"/>
      <c r="P907" s="389"/>
    </row>
    <row r="908" spans="5:16">
      <c r="E908" s="389"/>
      <c r="F908" s="389"/>
      <c r="G908" s="389"/>
      <c r="H908" s="389"/>
      <c r="I908" s="389"/>
      <c r="J908" s="389"/>
      <c r="K908" s="389"/>
      <c r="L908" s="389"/>
      <c r="M908" s="389"/>
      <c r="N908" s="389"/>
      <c r="O908" s="389"/>
      <c r="P908" s="389"/>
    </row>
    <row r="909" spans="5:16">
      <c r="E909" s="389"/>
      <c r="F909" s="389"/>
      <c r="G909" s="389"/>
      <c r="H909" s="389"/>
      <c r="I909" s="389"/>
      <c r="J909" s="389"/>
      <c r="K909" s="389"/>
      <c r="L909" s="389"/>
      <c r="M909" s="389"/>
      <c r="N909" s="389"/>
      <c r="O909" s="389"/>
      <c r="P909" s="389"/>
    </row>
    <row r="910" spans="5:16">
      <c r="E910" s="389"/>
      <c r="F910" s="389"/>
      <c r="G910" s="389"/>
      <c r="H910" s="389"/>
      <c r="I910" s="389"/>
      <c r="J910" s="389"/>
      <c r="K910" s="389"/>
      <c r="L910" s="389"/>
      <c r="M910" s="389"/>
      <c r="N910" s="389"/>
      <c r="O910" s="389"/>
      <c r="P910" s="389"/>
    </row>
    <row r="911" spans="5:16">
      <c r="E911" s="389"/>
      <c r="F911" s="389"/>
      <c r="G911" s="389"/>
      <c r="H911" s="389"/>
      <c r="I911" s="389"/>
      <c r="J911" s="389"/>
      <c r="K911" s="389"/>
      <c r="L911" s="389"/>
      <c r="M911" s="389"/>
      <c r="N911" s="389"/>
      <c r="O911" s="389"/>
      <c r="P911" s="389"/>
    </row>
    <row r="912" spans="5:16">
      <c r="E912" s="389"/>
      <c r="F912" s="389"/>
      <c r="G912" s="389"/>
      <c r="H912" s="389"/>
      <c r="I912" s="389"/>
      <c r="J912" s="389"/>
      <c r="K912" s="389"/>
      <c r="L912" s="389"/>
      <c r="M912" s="389"/>
      <c r="N912" s="389"/>
      <c r="O912" s="389"/>
      <c r="P912" s="389"/>
    </row>
    <row r="913" spans="5:16">
      <c r="E913" s="389"/>
      <c r="F913" s="389"/>
      <c r="G913" s="389"/>
      <c r="H913" s="389"/>
      <c r="I913" s="389"/>
      <c r="J913" s="389"/>
      <c r="K913" s="389"/>
      <c r="L913" s="389"/>
      <c r="M913" s="389"/>
      <c r="N913" s="389"/>
      <c r="O913" s="389"/>
      <c r="P913" s="389"/>
    </row>
    <row r="914" spans="5:16">
      <c r="E914" s="389"/>
      <c r="F914" s="389"/>
      <c r="G914" s="389"/>
      <c r="H914" s="389"/>
      <c r="I914" s="389"/>
      <c r="J914" s="389"/>
      <c r="K914" s="389"/>
      <c r="L914" s="389"/>
      <c r="M914" s="389"/>
      <c r="N914" s="389"/>
      <c r="O914" s="389"/>
      <c r="P914" s="389"/>
    </row>
    <row r="915" spans="5:16">
      <c r="E915" s="389"/>
      <c r="F915" s="389"/>
      <c r="G915" s="389"/>
      <c r="H915" s="389"/>
      <c r="I915" s="389"/>
      <c r="J915" s="389"/>
      <c r="K915" s="389"/>
      <c r="L915" s="389"/>
      <c r="M915" s="389"/>
      <c r="N915" s="389"/>
      <c r="O915" s="389"/>
      <c r="P915" s="389"/>
    </row>
    <row r="916" spans="5:16">
      <c r="E916" s="389"/>
      <c r="F916" s="389"/>
      <c r="G916" s="389"/>
      <c r="H916" s="389"/>
      <c r="I916" s="389"/>
      <c r="J916" s="389"/>
      <c r="K916" s="389"/>
      <c r="L916" s="389"/>
      <c r="M916" s="389"/>
      <c r="N916" s="389"/>
      <c r="O916" s="389"/>
      <c r="P916" s="389"/>
    </row>
    <row r="917" spans="5:16">
      <c r="E917" s="389"/>
      <c r="F917" s="389"/>
      <c r="G917" s="389"/>
      <c r="H917" s="389"/>
      <c r="I917" s="389"/>
      <c r="J917" s="389"/>
      <c r="K917" s="389"/>
      <c r="L917" s="389"/>
      <c r="M917" s="389"/>
      <c r="N917" s="389"/>
      <c r="O917" s="389"/>
      <c r="P917" s="389"/>
    </row>
    <row r="918" spans="5:16">
      <c r="E918" s="389"/>
      <c r="F918" s="389"/>
      <c r="G918" s="389"/>
      <c r="H918" s="389"/>
      <c r="I918" s="389"/>
      <c r="J918" s="389"/>
      <c r="K918" s="389"/>
      <c r="L918" s="389"/>
      <c r="M918" s="389"/>
      <c r="N918" s="389"/>
      <c r="O918" s="389"/>
      <c r="P918" s="389"/>
    </row>
    <row r="919" spans="5:16">
      <c r="E919" s="389"/>
      <c r="F919" s="389"/>
      <c r="G919" s="389"/>
      <c r="H919" s="389"/>
      <c r="I919" s="389"/>
      <c r="J919" s="389"/>
      <c r="K919" s="389"/>
      <c r="L919" s="389"/>
      <c r="M919" s="389"/>
      <c r="N919" s="389"/>
      <c r="O919" s="389"/>
      <c r="P919" s="389"/>
    </row>
    <row r="920" spans="5:16">
      <c r="E920" s="389"/>
      <c r="F920" s="389"/>
      <c r="G920" s="389"/>
      <c r="H920" s="389"/>
      <c r="I920" s="389"/>
      <c r="J920" s="389"/>
      <c r="K920" s="389"/>
      <c r="L920" s="389"/>
      <c r="M920" s="389"/>
      <c r="N920" s="389"/>
      <c r="O920" s="389"/>
      <c r="P920" s="389"/>
    </row>
    <row r="921" spans="5:16">
      <c r="E921" s="389"/>
      <c r="F921" s="389"/>
      <c r="G921" s="389"/>
      <c r="H921" s="389"/>
      <c r="I921" s="389"/>
      <c r="J921" s="389"/>
      <c r="K921" s="389"/>
      <c r="L921" s="389"/>
      <c r="M921" s="389"/>
      <c r="N921" s="389"/>
      <c r="O921" s="389"/>
      <c r="P921" s="389"/>
    </row>
    <row r="922" spans="5:16">
      <c r="E922" s="389"/>
      <c r="F922" s="389"/>
      <c r="G922" s="389"/>
      <c r="H922" s="389"/>
      <c r="I922" s="389"/>
      <c r="J922" s="389"/>
      <c r="K922" s="389"/>
      <c r="L922" s="389"/>
      <c r="M922" s="389"/>
      <c r="N922" s="389"/>
      <c r="O922" s="389"/>
      <c r="P922" s="389"/>
    </row>
    <row r="923" spans="5:16">
      <c r="E923" s="389"/>
      <c r="F923" s="389"/>
      <c r="G923" s="389"/>
      <c r="H923" s="389"/>
      <c r="I923" s="389"/>
      <c r="J923" s="389"/>
      <c r="K923" s="389"/>
      <c r="L923" s="389"/>
      <c r="M923" s="389"/>
      <c r="N923" s="389"/>
      <c r="O923" s="389"/>
      <c r="P923" s="389"/>
    </row>
    <row r="924" spans="5:16">
      <c r="E924" s="389"/>
      <c r="F924" s="389"/>
      <c r="G924" s="389"/>
      <c r="H924" s="389"/>
      <c r="I924" s="389"/>
      <c r="J924" s="389"/>
      <c r="K924" s="389"/>
      <c r="L924" s="389"/>
      <c r="M924" s="389"/>
      <c r="N924" s="389"/>
      <c r="O924" s="389"/>
      <c r="P924" s="389"/>
    </row>
    <row r="925" spans="5:16">
      <c r="E925" s="389"/>
      <c r="F925" s="389"/>
      <c r="G925" s="389"/>
      <c r="H925" s="389"/>
      <c r="I925" s="389"/>
      <c r="J925" s="389"/>
      <c r="K925" s="389"/>
      <c r="L925" s="389"/>
      <c r="M925" s="389"/>
      <c r="N925" s="389"/>
      <c r="O925" s="389"/>
      <c r="P925" s="389"/>
    </row>
    <row r="926" spans="5:16">
      <c r="E926" s="389"/>
      <c r="F926" s="389"/>
      <c r="G926" s="389"/>
      <c r="H926" s="389"/>
      <c r="I926" s="389"/>
      <c r="J926" s="389"/>
      <c r="K926" s="389"/>
      <c r="L926" s="389"/>
      <c r="M926" s="389"/>
      <c r="N926" s="389"/>
      <c r="O926" s="389"/>
      <c r="P926" s="389"/>
    </row>
    <row r="927" spans="5:16">
      <c r="E927" s="389"/>
      <c r="F927" s="389"/>
      <c r="G927" s="389"/>
      <c r="H927" s="389"/>
      <c r="I927" s="389"/>
      <c r="J927" s="389"/>
      <c r="K927" s="389"/>
      <c r="L927" s="389"/>
      <c r="M927" s="389"/>
      <c r="N927" s="389"/>
      <c r="O927" s="389"/>
      <c r="P927" s="389"/>
    </row>
    <row r="928" spans="5:16">
      <c r="E928" s="389"/>
      <c r="F928" s="389"/>
      <c r="G928" s="389"/>
      <c r="H928" s="389"/>
      <c r="I928" s="389"/>
      <c r="J928" s="389"/>
      <c r="K928" s="389"/>
      <c r="L928" s="389"/>
      <c r="M928" s="389"/>
      <c r="N928" s="389"/>
      <c r="O928" s="389"/>
      <c r="P928" s="389"/>
    </row>
    <row r="929" spans="5:16">
      <c r="E929" s="389"/>
      <c r="F929" s="389"/>
      <c r="G929" s="389"/>
      <c r="H929" s="389"/>
      <c r="I929" s="389"/>
      <c r="J929" s="389"/>
      <c r="K929" s="389"/>
      <c r="L929" s="389"/>
      <c r="M929" s="389"/>
      <c r="N929" s="389"/>
      <c r="O929" s="389"/>
      <c r="P929" s="389"/>
    </row>
    <row r="930" spans="5:16">
      <c r="E930" s="389"/>
      <c r="F930" s="389"/>
      <c r="G930" s="389"/>
      <c r="H930" s="389"/>
      <c r="I930" s="389"/>
      <c r="J930" s="389"/>
      <c r="K930" s="389"/>
      <c r="L930" s="389"/>
      <c r="M930" s="389"/>
      <c r="N930" s="389"/>
      <c r="O930" s="389"/>
      <c r="P930" s="389"/>
    </row>
    <row r="931" spans="5:16">
      <c r="E931" s="389"/>
      <c r="F931" s="389"/>
      <c r="G931" s="389"/>
      <c r="H931" s="389"/>
      <c r="I931" s="389"/>
      <c r="J931" s="389"/>
      <c r="K931" s="389"/>
      <c r="L931" s="389"/>
      <c r="M931" s="389"/>
      <c r="N931" s="389"/>
      <c r="O931" s="389"/>
      <c r="P931" s="389"/>
    </row>
    <row r="932" spans="5:16">
      <c r="E932" s="389"/>
      <c r="F932" s="389"/>
      <c r="G932" s="389"/>
      <c r="H932" s="389"/>
      <c r="I932" s="389"/>
      <c r="J932" s="389"/>
      <c r="K932" s="389"/>
      <c r="L932" s="389"/>
      <c r="M932" s="389"/>
      <c r="N932" s="389"/>
      <c r="O932" s="389"/>
      <c r="P932" s="389"/>
    </row>
    <row r="933" spans="5:16">
      <c r="E933" s="389"/>
      <c r="F933" s="389"/>
      <c r="G933" s="389"/>
      <c r="H933" s="389"/>
      <c r="I933" s="389"/>
      <c r="J933" s="389"/>
      <c r="K933" s="389"/>
      <c r="L933" s="389"/>
      <c r="M933" s="389"/>
      <c r="N933" s="389"/>
      <c r="O933" s="389"/>
      <c r="P933" s="389"/>
    </row>
    <row r="934" spans="5:16">
      <c r="E934" s="389"/>
      <c r="F934" s="389"/>
      <c r="G934" s="389"/>
      <c r="H934" s="389"/>
      <c r="I934" s="389"/>
      <c r="J934" s="389"/>
      <c r="K934" s="389"/>
      <c r="L934" s="389"/>
      <c r="M934" s="389"/>
      <c r="N934" s="389"/>
      <c r="O934" s="389"/>
      <c r="P934" s="389"/>
    </row>
    <row r="935" spans="5:16">
      <c r="E935" s="389"/>
      <c r="F935" s="389"/>
      <c r="G935" s="389"/>
      <c r="H935" s="389"/>
      <c r="I935" s="389"/>
      <c r="J935" s="389"/>
      <c r="K935" s="389"/>
      <c r="L935" s="389"/>
      <c r="M935" s="389"/>
      <c r="N935" s="389"/>
      <c r="O935" s="389"/>
      <c r="P935" s="389"/>
    </row>
    <row r="936" spans="5:16">
      <c r="E936" s="389"/>
      <c r="F936" s="389"/>
      <c r="G936" s="389"/>
      <c r="H936" s="389"/>
      <c r="I936" s="389"/>
      <c r="J936" s="389"/>
      <c r="K936" s="389"/>
      <c r="L936" s="389"/>
      <c r="M936" s="389"/>
      <c r="N936" s="389"/>
      <c r="O936" s="389"/>
      <c r="P936" s="389"/>
    </row>
    <row r="937" spans="5:16">
      <c r="E937" s="389"/>
      <c r="F937" s="389"/>
      <c r="G937" s="389"/>
      <c r="H937" s="389"/>
      <c r="I937" s="389"/>
      <c r="J937" s="389"/>
      <c r="K937" s="389"/>
      <c r="L937" s="389"/>
      <c r="M937" s="389"/>
      <c r="N937" s="389"/>
      <c r="O937" s="389"/>
      <c r="P937" s="389"/>
    </row>
    <row r="938" spans="5:16">
      <c r="E938" s="389"/>
      <c r="F938" s="389"/>
      <c r="G938" s="389"/>
      <c r="H938" s="389"/>
      <c r="I938" s="389"/>
      <c r="J938" s="389"/>
      <c r="K938" s="389"/>
      <c r="L938" s="389"/>
      <c r="M938" s="389"/>
      <c r="N938" s="389"/>
      <c r="O938" s="389"/>
      <c r="P938" s="389"/>
    </row>
    <row r="939" spans="5:16">
      <c r="E939" s="389"/>
      <c r="F939" s="389"/>
      <c r="G939" s="389"/>
      <c r="H939" s="389"/>
      <c r="I939" s="389"/>
      <c r="J939" s="389"/>
      <c r="K939" s="389"/>
      <c r="L939" s="389"/>
      <c r="M939" s="389"/>
      <c r="N939" s="389"/>
      <c r="O939" s="389"/>
      <c r="P939" s="389"/>
    </row>
    <row r="940" spans="5:16">
      <c r="E940" s="389"/>
      <c r="F940" s="389"/>
      <c r="G940" s="389"/>
      <c r="H940" s="389"/>
      <c r="I940" s="389"/>
      <c r="J940" s="389"/>
      <c r="K940" s="389"/>
      <c r="L940" s="389"/>
      <c r="M940" s="389"/>
      <c r="N940" s="389"/>
      <c r="O940" s="389"/>
      <c r="P940" s="389"/>
    </row>
    <row r="941" spans="5:16">
      <c r="E941" s="389"/>
      <c r="F941" s="389"/>
      <c r="G941" s="389"/>
      <c r="H941" s="389"/>
      <c r="I941" s="389"/>
      <c r="J941" s="389"/>
      <c r="K941" s="389"/>
      <c r="L941" s="389"/>
      <c r="M941" s="389"/>
      <c r="N941" s="389"/>
      <c r="O941" s="389"/>
      <c r="P941" s="389"/>
    </row>
    <row r="942" spans="5:16">
      <c r="E942" s="389"/>
      <c r="F942" s="389"/>
      <c r="G942" s="389"/>
      <c r="H942" s="389"/>
      <c r="I942" s="389"/>
      <c r="J942" s="389"/>
      <c r="K942" s="389"/>
      <c r="L942" s="389"/>
      <c r="M942" s="389"/>
      <c r="N942" s="389"/>
      <c r="O942" s="389"/>
      <c r="P942" s="389"/>
    </row>
    <row r="943" spans="5:16">
      <c r="E943" s="389"/>
      <c r="F943" s="389"/>
      <c r="G943" s="389"/>
      <c r="H943" s="389"/>
      <c r="I943" s="389"/>
      <c r="J943" s="389"/>
      <c r="K943" s="389"/>
      <c r="L943" s="389"/>
      <c r="M943" s="389"/>
      <c r="N943" s="389"/>
      <c r="O943" s="389"/>
      <c r="P943" s="389"/>
    </row>
    <row r="944" spans="5:16">
      <c r="E944" s="389"/>
      <c r="F944" s="389"/>
      <c r="G944" s="389"/>
      <c r="H944" s="389"/>
      <c r="I944" s="389"/>
      <c r="J944" s="389"/>
      <c r="K944" s="389"/>
      <c r="L944" s="389"/>
      <c r="M944" s="389"/>
      <c r="N944" s="389"/>
      <c r="O944" s="389"/>
      <c r="P944" s="389"/>
    </row>
    <row r="945" spans="5:16">
      <c r="E945" s="389"/>
      <c r="F945" s="389"/>
      <c r="G945" s="389"/>
      <c r="H945" s="389"/>
      <c r="I945" s="389"/>
      <c r="J945" s="389"/>
      <c r="K945" s="389"/>
      <c r="L945" s="389"/>
      <c r="M945" s="389"/>
      <c r="N945" s="389"/>
      <c r="O945" s="389"/>
      <c r="P945" s="389"/>
    </row>
    <row r="946" spans="5:16">
      <c r="E946" s="389"/>
      <c r="F946" s="389"/>
      <c r="G946" s="389"/>
      <c r="H946" s="389"/>
      <c r="I946" s="389"/>
      <c r="J946" s="389"/>
      <c r="K946" s="389"/>
      <c r="L946" s="389"/>
      <c r="M946" s="389"/>
      <c r="N946" s="389"/>
      <c r="O946" s="389"/>
      <c r="P946" s="389"/>
    </row>
    <row r="947" spans="5:16">
      <c r="E947" s="389"/>
      <c r="F947" s="389"/>
      <c r="G947" s="389"/>
      <c r="H947" s="389"/>
      <c r="I947" s="389"/>
      <c r="J947" s="389"/>
      <c r="K947" s="389"/>
      <c r="L947" s="389"/>
      <c r="M947" s="389"/>
      <c r="N947" s="389"/>
      <c r="O947" s="389"/>
      <c r="P947" s="389"/>
    </row>
    <row r="948" spans="5:16">
      <c r="E948" s="389"/>
      <c r="F948" s="389"/>
      <c r="G948" s="389"/>
      <c r="H948" s="389"/>
      <c r="I948" s="389"/>
      <c r="J948" s="389"/>
      <c r="K948" s="389"/>
      <c r="L948" s="389"/>
      <c r="M948" s="389"/>
      <c r="N948" s="389"/>
      <c r="O948" s="389"/>
      <c r="P948" s="389"/>
    </row>
    <row r="949" spans="5:16">
      <c r="E949" s="389"/>
      <c r="F949" s="389"/>
      <c r="G949" s="389"/>
      <c r="H949" s="389"/>
      <c r="I949" s="389"/>
      <c r="J949" s="389"/>
      <c r="K949" s="389"/>
      <c r="L949" s="389"/>
      <c r="M949" s="389"/>
      <c r="N949" s="389"/>
      <c r="O949" s="389"/>
      <c r="P949" s="389"/>
    </row>
    <row r="950" spans="5:16">
      <c r="E950" s="389"/>
      <c r="F950" s="389"/>
      <c r="G950" s="389"/>
      <c r="H950" s="389"/>
      <c r="I950" s="389"/>
      <c r="J950" s="389"/>
      <c r="K950" s="389"/>
      <c r="L950" s="389"/>
      <c r="M950" s="389"/>
      <c r="N950" s="389"/>
      <c r="O950" s="389"/>
      <c r="P950" s="389"/>
    </row>
    <row r="951" spans="5:16">
      <c r="E951" s="389"/>
      <c r="F951" s="389"/>
      <c r="G951" s="389"/>
      <c r="H951" s="389"/>
      <c r="I951" s="389"/>
      <c r="J951" s="389"/>
      <c r="K951" s="389"/>
      <c r="L951" s="389"/>
      <c r="M951" s="389"/>
      <c r="N951" s="389"/>
      <c r="O951" s="389"/>
      <c r="P951" s="389"/>
    </row>
    <row r="952" spans="5:16">
      <c r="E952" s="389"/>
      <c r="F952" s="389"/>
      <c r="G952" s="389"/>
      <c r="H952" s="389"/>
      <c r="I952" s="389"/>
      <c r="J952" s="389"/>
      <c r="K952" s="389"/>
      <c r="L952" s="389"/>
      <c r="M952" s="389"/>
      <c r="N952" s="389"/>
      <c r="O952" s="389"/>
      <c r="P952" s="389"/>
    </row>
    <row r="953" spans="5:16">
      <c r="E953" s="389"/>
      <c r="F953" s="389"/>
      <c r="G953" s="389"/>
      <c r="H953" s="389"/>
      <c r="I953" s="389"/>
      <c r="J953" s="389"/>
      <c r="K953" s="389"/>
      <c r="L953" s="389"/>
      <c r="M953" s="389"/>
      <c r="N953" s="389"/>
      <c r="O953" s="389"/>
      <c r="P953" s="389"/>
    </row>
    <row r="954" spans="5:16">
      <c r="E954" s="389"/>
      <c r="F954" s="389"/>
      <c r="G954" s="389"/>
      <c r="H954" s="389"/>
      <c r="I954" s="389"/>
      <c r="J954" s="389"/>
      <c r="K954" s="389"/>
      <c r="L954" s="389"/>
      <c r="M954" s="389"/>
      <c r="N954" s="389"/>
      <c r="O954" s="389"/>
      <c r="P954" s="389"/>
    </row>
    <row r="955" spans="5:16">
      <c r="E955" s="389"/>
      <c r="F955" s="389"/>
      <c r="G955" s="389"/>
      <c r="H955" s="389"/>
      <c r="I955" s="389"/>
      <c r="J955" s="389"/>
      <c r="K955" s="389"/>
      <c r="L955" s="389"/>
      <c r="M955" s="389"/>
      <c r="N955" s="389"/>
      <c r="O955" s="389"/>
      <c r="P955" s="389"/>
    </row>
    <row r="956" spans="5:16">
      <c r="E956" s="389"/>
      <c r="F956" s="389"/>
      <c r="G956" s="389"/>
      <c r="H956" s="389"/>
      <c r="I956" s="389"/>
      <c r="J956" s="389"/>
      <c r="K956" s="389"/>
      <c r="L956" s="389"/>
      <c r="M956" s="389"/>
      <c r="N956" s="389"/>
      <c r="O956" s="389"/>
      <c r="P956" s="389"/>
    </row>
    <row r="957" spans="5:16">
      <c r="E957" s="389"/>
      <c r="F957" s="389"/>
      <c r="G957" s="389"/>
      <c r="H957" s="389"/>
      <c r="I957" s="389"/>
      <c r="J957" s="389"/>
      <c r="K957" s="389"/>
      <c r="L957" s="389"/>
      <c r="M957" s="389"/>
      <c r="N957" s="389"/>
      <c r="O957" s="389"/>
      <c r="P957" s="389"/>
    </row>
    <row r="958" spans="5:16">
      <c r="E958" s="389"/>
      <c r="F958" s="389"/>
      <c r="G958" s="389"/>
      <c r="H958" s="389"/>
      <c r="I958" s="389"/>
      <c r="J958" s="389"/>
      <c r="K958" s="389"/>
      <c r="L958" s="389"/>
      <c r="M958" s="389"/>
      <c r="N958" s="389"/>
      <c r="O958" s="389"/>
      <c r="P958" s="389"/>
    </row>
    <row r="959" spans="5:16">
      <c r="E959" s="389"/>
      <c r="F959" s="389"/>
      <c r="G959" s="389"/>
      <c r="H959" s="389"/>
      <c r="I959" s="389"/>
      <c r="J959" s="389"/>
      <c r="K959" s="389"/>
      <c r="L959" s="389"/>
      <c r="M959" s="389"/>
      <c r="N959" s="389"/>
      <c r="O959" s="389"/>
      <c r="P959" s="389"/>
    </row>
    <row r="960" spans="5:16">
      <c r="E960" s="389"/>
      <c r="F960" s="389"/>
      <c r="G960" s="389"/>
      <c r="H960" s="389"/>
      <c r="I960" s="389"/>
      <c r="J960" s="389"/>
      <c r="K960" s="389"/>
      <c r="L960" s="389"/>
      <c r="M960" s="389"/>
      <c r="N960" s="389"/>
      <c r="O960" s="389"/>
      <c r="P960" s="389"/>
    </row>
    <row r="961" spans="5:16">
      <c r="E961" s="389"/>
      <c r="F961" s="389"/>
      <c r="G961" s="389"/>
      <c r="H961" s="389"/>
      <c r="I961" s="389"/>
      <c r="J961" s="389"/>
      <c r="K961" s="389"/>
      <c r="L961" s="389"/>
      <c r="M961" s="389"/>
      <c r="N961" s="389"/>
      <c r="O961" s="389"/>
      <c r="P961" s="389"/>
    </row>
    <row r="962" spans="5:16">
      <c r="E962" s="389"/>
      <c r="F962" s="389"/>
      <c r="G962" s="389"/>
      <c r="H962" s="389"/>
      <c r="I962" s="389"/>
      <c r="J962" s="389"/>
      <c r="K962" s="389"/>
      <c r="L962" s="389"/>
      <c r="M962" s="389"/>
      <c r="N962" s="389"/>
      <c r="O962" s="389"/>
      <c r="P962" s="389"/>
    </row>
    <row r="963" spans="5:16">
      <c r="E963" s="389"/>
      <c r="F963" s="389"/>
      <c r="G963" s="389"/>
      <c r="H963" s="389"/>
      <c r="I963" s="389"/>
      <c r="J963" s="389"/>
      <c r="K963" s="389"/>
      <c r="L963" s="389"/>
      <c r="M963" s="389"/>
      <c r="N963" s="389"/>
      <c r="O963" s="389"/>
      <c r="P963" s="389"/>
    </row>
    <row r="964" spans="5:16">
      <c r="E964" s="389"/>
      <c r="F964" s="389"/>
      <c r="G964" s="389"/>
      <c r="H964" s="389"/>
      <c r="I964" s="389"/>
      <c r="J964" s="389"/>
      <c r="K964" s="389"/>
      <c r="L964" s="389"/>
      <c r="M964" s="389"/>
      <c r="N964" s="389"/>
      <c r="O964" s="389"/>
      <c r="P964" s="389"/>
    </row>
    <row r="965" spans="5:16">
      <c r="E965" s="389"/>
      <c r="F965" s="389"/>
      <c r="G965" s="389"/>
      <c r="H965" s="389"/>
      <c r="I965" s="389"/>
      <c r="J965" s="389"/>
      <c r="K965" s="389"/>
      <c r="L965" s="389"/>
      <c r="M965" s="389"/>
      <c r="N965" s="389"/>
      <c r="O965" s="389"/>
      <c r="P965" s="389"/>
    </row>
    <row r="966" spans="5:16">
      <c r="E966" s="389"/>
      <c r="F966" s="389"/>
      <c r="G966" s="389"/>
      <c r="H966" s="389"/>
      <c r="I966" s="389"/>
      <c r="J966" s="389"/>
      <c r="K966" s="389"/>
      <c r="L966" s="389"/>
      <c r="M966" s="389"/>
      <c r="N966" s="389"/>
      <c r="O966" s="389"/>
      <c r="P966" s="389"/>
    </row>
    <row r="967" spans="5:16">
      <c r="E967" s="389"/>
      <c r="F967" s="389"/>
      <c r="G967" s="389"/>
      <c r="H967" s="389"/>
      <c r="I967" s="389"/>
      <c r="J967" s="389"/>
      <c r="K967" s="389"/>
      <c r="L967" s="389"/>
      <c r="M967" s="389"/>
      <c r="N967" s="389"/>
      <c r="O967" s="389"/>
      <c r="P967" s="389"/>
    </row>
    <row r="968" spans="5:16">
      <c r="E968" s="389"/>
      <c r="F968" s="389"/>
      <c r="G968" s="389"/>
      <c r="H968" s="389"/>
      <c r="I968" s="389"/>
      <c r="J968" s="389"/>
      <c r="K968" s="389"/>
      <c r="L968" s="389"/>
      <c r="M968" s="389"/>
      <c r="N968" s="389"/>
      <c r="O968" s="389"/>
      <c r="P968" s="389"/>
    </row>
    <row r="969" spans="5:16">
      <c r="E969" s="389"/>
      <c r="F969" s="389"/>
      <c r="G969" s="389"/>
      <c r="H969" s="389"/>
      <c r="I969" s="389"/>
      <c r="J969" s="389"/>
      <c r="K969" s="389"/>
      <c r="L969" s="389"/>
      <c r="M969" s="389"/>
      <c r="N969" s="389"/>
      <c r="O969" s="389"/>
      <c r="P969" s="389"/>
    </row>
    <row r="970" spans="5:16">
      <c r="E970" s="389"/>
      <c r="F970" s="389"/>
      <c r="G970" s="389"/>
      <c r="H970" s="389"/>
      <c r="I970" s="389"/>
      <c r="J970" s="389"/>
      <c r="K970" s="389"/>
      <c r="L970" s="389"/>
      <c r="M970" s="389"/>
      <c r="N970" s="389"/>
      <c r="O970" s="389"/>
      <c r="P970" s="389"/>
    </row>
    <row r="971" spans="5:16">
      <c r="E971" s="389"/>
      <c r="F971" s="389"/>
      <c r="G971" s="389"/>
      <c r="H971" s="389"/>
      <c r="I971" s="389"/>
      <c r="J971" s="389"/>
      <c r="K971" s="389"/>
      <c r="L971" s="389"/>
      <c r="M971" s="389"/>
      <c r="N971" s="389"/>
      <c r="O971" s="389"/>
      <c r="P971" s="389"/>
    </row>
    <row r="972" spans="5:16">
      <c r="E972" s="389"/>
      <c r="F972" s="389"/>
      <c r="G972" s="389"/>
      <c r="H972" s="389"/>
      <c r="I972" s="389"/>
      <c r="J972" s="389"/>
      <c r="K972" s="389"/>
      <c r="L972" s="389"/>
      <c r="M972" s="389"/>
      <c r="N972" s="389"/>
      <c r="O972" s="389"/>
      <c r="P972" s="389"/>
    </row>
    <row r="973" spans="5:16">
      <c r="E973" s="389"/>
      <c r="F973" s="389"/>
      <c r="G973" s="389"/>
      <c r="H973" s="389"/>
      <c r="I973" s="389"/>
      <c r="J973" s="389"/>
      <c r="K973" s="389"/>
      <c r="L973" s="389"/>
      <c r="M973" s="389"/>
      <c r="N973" s="389"/>
      <c r="O973" s="389"/>
      <c r="P973" s="389"/>
    </row>
    <row r="974" spans="5:16">
      <c r="E974" s="389"/>
      <c r="F974" s="389"/>
      <c r="G974" s="389"/>
      <c r="H974" s="389"/>
      <c r="I974" s="389"/>
      <c r="J974" s="389"/>
      <c r="K974" s="389"/>
      <c r="L974" s="389"/>
      <c r="M974" s="389"/>
      <c r="N974" s="389"/>
      <c r="O974" s="389"/>
      <c r="P974" s="389"/>
    </row>
    <row r="975" spans="5:16">
      <c r="E975" s="389"/>
      <c r="F975" s="389"/>
      <c r="G975" s="389"/>
      <c r="H975" s="389"/>
      <c r="I975" s="389"/>
      <c r="J975" s="389"/>
      <c r="K975" s="389"/>
      <c r="L975" s="389"/>
      <c r="M975" s="389"/>
      <c r="N975" s="389"/>
      <c r="O975" s="389"/>
      <c r="P975" s="389"/>
    </row>
    <row r="976" spans="5:16">
      <c r="E976" s="389"/>
      <c r="F976" s="389"/>
      <c r="G976" s="389"/>
      <c r="H976" s="389"/>
      <c r="I976" s="389"/>
      <c r="J976" s="389"/>
      <c r="K976" s="389"/>
      <c r="L976" s="389"/>
      <c r="M976" s="389"/>
      <c r="N976" s="389"/>
      <c r="O976" s="389"/>
      <c r="P976" s="389"/>
    </row>
    <row r="977" spans="5:16">
      <c r="E977" s="389"/>
      <c r="F977" s="389"/>
      <c r="G977" s="389"/>
      <c r="H977" s="389"/>
      <c r="I977" s="389"/>
      <c r="J977" s="389"/>
      <c r="K977" s="389"/>
      <c r="L977" s="389"/>
      <c r="M977" s="389"/>
      <c r="N977" s="389"/>
      <c r="O977" s="389"/>
      <c r="P977" s="389"/>
    </row>
    <row r="978" spans="5:16">
      <c r="E978" s="389"/>
      <c r="F978" s="389"/>
      <c r="G978" s="389"/>
      <c r="H978" s="389"/>
      <c r="I978" s="389"/>
      <c r="J978" s="389"/>
      <c r="K978" s="389"/>
      <c r="L978" s="389"/>
      <c r="M978" s="389"/>
      <c r="N978" s="389"/>
      <c r="O978" s="389"/>
      <c r="P978" s="389"/>
    </row>
    <row r="979" spans="5:16">
      <c r="E979" s="389"/>
      <c r="F979" s="389"/>
      <c r="G979" s="389"/>
      <c r="H979" s="389"/>
      <c r="I979" s="389"/>
      <c r="J979" s="389"/>
      <c r="K979" s="389"/>
      <c r="L979" s="389"/>
      <c r="M979" s="389"/>
      <c r="N979" s="389"/>
      <c r="O979" s="389"/>
      <c r="P979" s="389"/>
    </row>
    <row r="980" spans="5:16">
      <c r="E980" s="389"/>
      <c r="F980" s="389"/>
      <c r="G980" s="389"/>
      <c r="H980" s="389"/>
      <c r="I980" s="389"/>
      <c r="J980" s="389"/>
      <c r="K980" s="389"/>
      <c r="L980" s="389"/>
      <c r="M980" s="389"/>
      <c r="N980" s="389"/>
      <c r="O980" s="389"/>
      <c r="P980" s="389"/>
    </row>
    <row r="981" spans="5:16">
      <c r="E981" s="389"/>
      <c r="F981" s="389"/>
      <c r="G981" s="389"/>
      <c r="H981" s="389"/>
      <c r="I981" s="389"/>
      <c r="J981" s="389"/>
      <c r="K981" s="389"/>
      <c r="L981" s="389"/>
      <c r="M981" s="389"/>
      <c r="N981" s="389"/>
      <c r="O981" s="389"/>
      <c r="P981" s="389"/>
    </row>
    <row r="982" spans="5:16">
      <c r="E982" s="389"/>
      <c r="F982" s="389"/>
      <c r="G982" s="389"/>
      <c r="H982" s="389"/>
      <c r="I982" s="389"/>
      <c r="J982" s="389"/>
      <c r="K982" s="389"/>
      <c r="L982" s="389"/>
      <c r="M982" s="389"/>
      <c r="N982" s="389"/>
      <c r="O982" s="389"/>
      <c r="P982" s="389"/>
    </row>
    <row r="983" spans="5:16">
      <c r="E983" s="389"/>
      <c r="F983" s="389"/>
      <c r="G983" s="389"/>
      <c r="H983" s="389"/>
      <c r="I983" s="389"/>
      <c r="J983" s="389"/>
      <c r="K983" s="389"/>
      <c r="L983" s="389"/>
      <c r="M983" s="389"/>
      <c r="N983" s="389"/>
      <c r="O983" s="389"/>
      <c r="P983" s="389"/>
    </row>
    <row r="984" spans="5:16">
      <c r="E984" s="389"/>
      <c r="F984" s="389"/>
      <c r="G984" s="389"/>
      <c r="H984" s="389"/>
      <c r="I984" s="389"/>
      <c r="J984" s="389"/>
      <c r="K984" s="389"/>
      <c r="L984" s="389"/>
      <c r="M984" s="389"/>
      <c r="N984" s="389"/>
      <c r="O984" s="389"/>
      <c r="P984" s="389"/>
    </row>
    <row r="985" spans="5:16">
      <c r="E985" s="389"/>
      <c r="F985" s="389"/>
      <c r="G985" s="389"/>
      <c r="H985" s="389"/>
      <c r="I985" s="389"/>
      <c r="J985" s="389"/>
      <c r="K985" s="389"/>
      <c r="L985" s="389"/>
      <c r="M985" s="389"/>
      <c r="N985" s="389"/>
      <c r="O985" s="389"/>
      <c r="P985" s="389"/>
    </row>
    <row r="986" spans="5:16">
      <c r="E986" s="389"/>
      <c r="F986" s="389"/>
      <c r="G986" s="389"/>
      <c r="H986" s="389"/>
      <c r="I986" s="389"/>
      <c r="J986" s="389"/>
      <c r="K986" s="389"/>
      <c r="L986" s="389"/>
      <c r="M986" s="389"/>
      <c r="N986" s="389"/>
      <c r="O986" s="389"/>
      <c r="P986" s="389"/>
    </row>
    <row r="987" spans="5:16">
      <c r="E987" s="389"/>
      <c r="F987" s="389"/>
      <c r="G987" s="389"/>
      <c r="H987" s="389"/>
      <c r="I987" s="389"/>
      <c r="J987" s="389"/>
      <c r="K987" s="389"/>
      <c r="L987" s="389"/>
      <c r="M987" s="389"/>
      <c r="N987" s="389"/>
      <c r="O987" s="389"/>
      <c r="P987" s="389"/>
    </row>
    <row r="988" spans="5:16">
      <c r="E988" s="389"/>
      <c r="F988" s="389"/>
      <c r="G988" s="389"/>
      <c r="H988" s="389"/>
      <c r="I988" s="389"/>
      <c r="J988" s="389"/>
      <c r="K988" s="389"/>
      <c r="L988" s="389"/>
      <c r="M988" s="389"/>
      <c r="N988" s="389"/>
      <c r="O988" s="389"/>
      <c r="P988" s="389"/>
    </row>
    <row r="989" spans="5:16">
      <c r="E989" s="389"/>
      <c r="F989" s="389"/>
      <c r="G989" s="389"/>
      <c r="H989" s="389"/>
      <c r="I989" s="389"/>
      <c r="J989" s="389"/>
      <c r="K989" s="389"/>
      <c r="L989" s="389"/>
      <c r="M989" s="389"/>
      <c r="N989" s="389"/>
      <c r="O989" s="389"/>
      <c r="P989" s="389"/>
    </row>
    <row r="990" spans="5:16">
      <c r="E990" s="389"/>
      <c r="F990" s="389"/>
      <c r="G990" s="389"/>
      <c r="H990" s="389"/>
      <c r="I990" s="389"/>
      <c r="J990" s="389"/>
      <c r="K990" s="389"/>
      <c r="L990" s="389"/>
      <c r="M990" s="389"/>
      <c r="N990" s="389"/>
      <c r="O990" s="389"/>
      <c r="P990" s="389"/>
    </row>
    <row r="991" spans="5:16">
      <c r="E991" s="389"/>
      <c r="F991" s="389"/>
      <c r="G991" s="389"/>
      <c r="H991" s="389"/>
      <c r="I991" s="389"/>
      <c r="J991" s="389"/>
      <c r="K991" s="389"/>
      <c r="L991" s="389"/>
      <c r="M991" s="389"/>
      <c r="N991" s="389"/>
      <c r="O991" s="389"/>
      <c r="P991" s="389"/>
    </row>
    <row r="992" spans="5:16">
      <c r="E992" s="389"/>
      <c r="F992" s="389"/>
      <c r="G992" s="389"/>
      <c r="H992" s="389"/>
      <c r="I992" s="389"/>
      <c r="J992" s="389"/>
      <c r="K992" s="389"/>
      <c r="L992" s="389"/>
      <c r="M992" s="389"/>
      <c r="N992" s="389"/>
      <c r="O992" s="389"/>
      <c r="P992" s="389"/>
    </row>
    <row r="993" spans="5:16">
      <c r="E993" s="389"/>
      <c r="F993" s="389"/>
      <c r="G993" s="389"/>
      <c r="H993" s="389"/>
      <c r="I993" s="389"/>
      <c r="J993" s="389"/>
      <c r="K993" s="389"/>
      <c r="L993" s="389"/>
      <c r="M993" s="389"/>
      <c r="N993" s="389"/>
      <c r="O993" s="389"/>
      <c r="P993" s="389"/>
    </row>
    <row r="994" spans="5:16">
      <c r="E994" s="389"/>
      <c r="F994" s="389"/>
      <c r="G994" s="389"/>
      <c r="H994" s="389"/>
      <c r="I994" s="389"/>
      <c r="J994" s="389"/>
      <c r="K994" s="389"/>
      <c r="L994" s="389"/>
      <c r="M994" s="389"/>
      <c r="N994" s="389"/>
      <c r="O994" s="389"/>
      <c r="P994" s="389"/>
    </row>
    <row r="995" spans="5:16">
      <c r="E995" s="389"/>
      <c r="F995" s="389"/>
      <c r="G995" s="389"/>
      <c r="H995" s="389"/>
      <c r="I995" s="389"/>
      <c r="J995" s="389"/>
      <c r="K995" s="389"/>
      <c r="L995" s="389"/>
      <c r="M995" s="389"/>
      <c r="N995" s="389"/>
      <c r="O995" s="389"/>
      <c r="P995" s="389"/>
    </row>
    <row r="996" spans="5:16">
      <c r="E996" s="389"/>
      <c r="F996" s="389"/>
      <c r="G996" s="389"/>
      <c r="H996" s="389"/>
      <c r="I996" s="389"/>
      <c r="J996" s="389"/>
      <c r="K996" s="389"/>
      <c r="L996" s="389"/>
      <c r="M996" s="389"/>
      <c r="N996" s="389"/>
      <c r="O996" s="389"/>
      <c r="P996" s="389"/>
    </row>
    <row r="997" spans="5:16">
      <c r="E997" s="389"/>
      <c r="F997" s="389"/>
      <c r="G997" s="389"/>
      <c r="H997" s="389"/>
      <c r="I997" s="389"/>
      <c r="J997" s="389"/>
      <c r="K997" s="389"/>
      <c r="L997" s="389"/>
      <c r="M997" s="389"/>
      <c r="N997" s="389"/>
      <c r="O997" s="389"/>
      <c r="P997" s="389"/>
    </row>
    <row r="998" spans="5:16">
      <c r="E998" s="389"/>
      <c r="F998" s="389"/>
      <c r="G998" s="389"/>
      <c r="H998" s="389"/>
      <c r="I998" s="389"/>
      <c r="J998" s="389"/>
      <c r="K998" s="389"/>
      <c r="L998" s="389"/>
      <c r="M998" s="389"/>
      <c r="N998" s="389"/>
      <c r="O998" s="389"/>
      <c r="P998" s="389"/>
    </row>
    <row r="999" spans="5:16">
      <c r="E999" s="389"/>
      <c r="F999" s="389"/>
      <c r="G999" s="389"/>
      <c r="H999" s="389"/>
      <c r="I999" s="389"/>
      <c r="J999" s="389"/>
      <c r="K999" s="389"/>
      <c r="L999" s="389"/>
      <c r="M999" s="389"/>
      <c r="N999" s="389"/>
      <c r="O999" s="389"/>
      <c r="P999" s="389"/>
    </row>
    <row r="1000" spans="5:16">
      <c r="E1000" s="389"/>
      <c r="F1000" s="389"/>
      <c r="G1000" s="389"/>
      <c r="H1000" s="389"/>
      <c r="I1000" s="389"/>
      <c r="J1000" s="389"/>
      <c r="K1000" s="389"/>
      <c r="L1000" s="389"/>
      <c r="M1000" s="389"/>
      <c r="N1000" s="389"/>
      <c r="O1000" s="389"/>
      <c r="P1000" s="389"/>
    </row>
    <row r="1001" spans="5:16">
      <c r="E1001" s="389"/>
      <c r="F1001" s="389"/>
      <c r="G1001" s="389"/>
      <c r="H1001" s="389"/>
      <c r="I1001" s="389"/>
      <c r="J1001" s="389"/>
      <c r="K1001" s="389"/>
      <c r="L1001" s="389"/>
      <c r="M1001" s="389"/>
      <c r="N1001" s="389"/>
      <c r="O1001" s="389"/>
      <c r="P1001" s="389"/>
    </row>
    <row r="1002" spans="5:16">
      <c r="E1002" s="389"/>
      <c r="F1002" s="389"/>
      <c r="G1002" s="389"/>
      <c r="H1002" s="389"/>
      <c r="I1002" s="389"/>
      <c r="J1002" s="389"/>
      <c r="K1002" s="389"/>
      <c r="L1002" s="389"/>
      <c r="M1002" s="389"/>
      <c r="N1002" s="389"/>
      <c r="O1002" s="389"/>
      <c r="P1002" s="389"/>
    </row>
    <row r="1003" spans="5:16">
      <c r="E1003" s="389"/>
      <c r="F1003" s="389"/>
      <c r="G1003" s="389"/>
      <c r="H1003" s="389"/>
      <c r="I1003" s="389"/>
      <c r="J1003" s="389"/>
      <c r="K1003" s="389"/>
      <c r="L1003" s="389"/>
      <c r="M1003" s="389"/>
      <c r="N1003" s="389"/>
      <c r="O1003" s="389"/>
      <c r="P1003" s="389"/>
    </row>
    <row r="1004" spans="5:16">
      <c r="E1004" s="389"/>
      <c r="F1004" s="389"/>
      <c r="G1004" s="389"/>
      <c r="H1004" s="389"/>
      <c r="I1004" s="389"/>
      <c r="J1004" s="389"/>
      <c r="K1004" s="389"/>
      <c r="L1004" s="389"/>
      <c r="M1004" s="389"/>
      <c r="N1004" s="389"/>
      <c r="O1004" s="389"/>
      <c r="P1004" s="389"/>
    </row>
    <row r="1005" spans="5:16">
      <c r="E1005" s="389"/>
      <c r="F1005" s="389"/>
      <c r="G1005" s="389"/>
      <c r="H1005" s="389"/>
      <c r="I1005" s="389"/>
      <c r="J1005" s="389"/>
      <c r="K1005" s="389"/>
      <c r="L1005" s="389"/>
      <c r="M1005" s="389"/>
      <c r="N1005" s="389"/>
      <c r="O1005" s="389"/>
      <c r="P1005" s="389"/>
    </row>
    <row r="1006" spans="5:16">
      <c r="E1006" s="389"/>
      <c r="F1006" s="389"/>
      <c r="G1006" s="389"/>
      <c r="H1006" s="389"/>
      <c r="I1006" s="389"/>
      <c r="J1006" s="389"/>
      <c r="K1006" s="389"/>
      <c r="L1006" s="389"/>
      <c r="M1006" s="389"/>
      <c r="N1006" s="389"/>
      <c r="O1006" s="389"/>
      <c r="P1006" s="389"/>
    </row>
    <row r="1007" spans="5:16">
      <c r="E1007" s="389"/>
      <c r="F1007" s="389"/>
      <c r="G1007" s="389"/>
      <c r="H1007" s="389"/>
      <c r="I1007" s="389"/>
      <c r="J1007" s="389"/>
      <c r="K1007" s="389"/>
      <c r="L1007" s="389"/>
      <c r="M1007" s="389"/>
      <c r="N1007" s="389"/>
      <c r="O1007" s="389"/>
      <c r="P1007" s="389"/>
    </row>
    <row r="1008" spans="5:16">
      <c r="E1008" s="389"/>
      <c r="F1008" s="389"/>
      <c r="G1008" s="389"/>
      <c r="H1008" s="389"/>
      <c r="I1008" s="389"/>
      <c r="J1008" s="389"/>
      <c r="K1008" s="389"/>
      <c r="L1008" s="389"/>
      <c r="M1008" s="389"/>
      <c r="N1008" s="389"/>
      <c r="O1008" s="389"/>
      <c r="P1008" s="389"/>
    </row>
    <row r="1009" spans="5:16">
      <c r="E1009" s="389"/>
      <c r="F1009" s="389"/>
      <c r="G1009" s="389"/>
      <c r="H1009" s="389"/>
      <c r="I1009" s="389"/>
      <c r="J1009" s="389"/>
      <c r="K1009" s="389"/>
      <c r="L1009" s="389"/>
      <c r="M1009" s="389"/>
      <c r="N1009" s="389"/>
      <c r="O1009" s="389"/>
      <c r="P1009" s="389"/>
    </row>
    <row r="1010" spans="5:16">
      <c r="E1010" s="389"/>
      <c r="F1010" s="389"/>
      <c r="G1010" s="389"/>
      <c r="H1010" s="389"/>
      <c r="I1010" s="389"/>
      <c r="J1010" s="389"/>
      <c r="K1010" s="389"/>
      <c r="L1010" s="389"/>
      <c r="M1010" s="389"/>
      <c r="N1010" s="389"/>
      <c r="O1010" s="389"/>
      <c r="P1010" s="389"/>
    </row>
    <row r="1011" spans="5:16">
      <c r="E1011" s="389"/>
      <c r="F1011" s="389"/>
      <c r="G1011" s="389"/>
      <c r="H1011" s="389"/>
      <c r="I1011" s="389"/>
      <c r="J1011" s="389"/>
      <c r="K1011" s="389"/>
      <c r="L1011" s="389"/>
      <c r="M1011" s="389"/>
      <c r="N1011" s="389"/>
      <c r="O1011" s="389"/>
      <c r="P1011" s="389"/>
    </row>
    <row r="1012" spans="5:16">
      <c r="E1012" s="389"/>
      <c r="F1012" s="389"/>
      <c r="G1012" s="389"/>
      <c r="H1012" s="389"/>
      <c r="I1012" s="389"/>
      <c r="J1012" s="389"/>
      <c r="K1012" s="389"/>
      <c r="L1012" s="389"/>
      <c r="M1012" s="389"/>
      <c r="N1012" s="389"/>
      <c r="O1012" s="389"/>
      <c r="P1012" s="389"/>
    </row>
    <row r="1013" spans="5:16">
      <c r="E1013" s="389"/>
      <c r="F1013" s="389"/>
      <c r="G1013" s="389"/>
      <c r="H1013" s="389"/>
      <c r="I1013" s="389"/>
      <c r="J1013" s="389"/>
      <c r="K1013" s="389"/>
      <c r="L1013" s="389"/>
      <c r="M1013" s="389"/>
      <c r="N1013" s="389"/>
      <c r="O1013" s="389"/>
      <c r="P1013" s="389"/>
    </row>
    <row r="1014" spans="5:16">
      <c r="E1014" s="389"/>
      <c r="F1014" s="389"/>
      <c r="G1014" s="389"/>
      <c r="H1014" s="389"/>
      <c r="I1014" s="389"/>
      <c r="J1014" s="389"/>
      <c r="K1014" s="389"/>
      <c r="L1014" s="389"/>
      <c r="M1014" s="389"/>
      <c r="N1014" s="389"/>
      <c r="O1014" s="389"/>
      <c r="P1014" s="389"/>
    </row>
    <row r="1015" spans="5:16">
      <c r="E1015" s="389"/>
      <c r="F1015" s="389"/>
      <c r="G1015" s="389"/>
      <c r="H1015" s="389"/>
      <c r="I1015" s="389"/>
      <c r="J1015" s="389"/>
      <c r="K1015" s="389"/>
      <c r="L1015" s="389"/>
      <c r="M1015" s="389"/>
      <c r="N1015" s="389"/>
      <c r="O1015" s="389"/>
      <c r="P1015" s="389"/>
    </row>
    <row r="1016" spans="5:16">
      <c r="E1016" s="389"/>
      <c r="F1016" s="389"/>
      <c r="G1016" s="389"/>
      <c r="H1016" s="389"/>
      <c r="I1016" s="389"/>
      <c r="J1016" s="389"/>
      <c r="K1016" s="389"/>
      <c r="L1016" s="389"/>
      <c r="M1016" s="389"/>
      <c r="N1016" s="389"/>
      <c r="O1016" s="389"/>
      <c r="P1016" s="389"/>
    </row>
    <row r="1017" spans="5:16">
      <c r="E1017" s="389"/>
      <c r="F1017" s="389"/>
      <c r="G1017" s="389"/>
      <c r="H1017" s="389"/>
      <c r="I1017" s="389"/>
      <c r="J1017" s="389"/>
      <c r="K1017" s="389"/>
      <c r="L1017" s="389"/>
      <c r="M1017" s="389"/>
      <c r="N1017" s="389"/>
      <c r="O1017" s="389"/>
      <c r="P1017" s="389"/>
    </row>
    <row r="1018" spans="5:16">
      <c r="E1018" s="389"/>
      <c r="F1018" s="389"/>
      <c r="G1018" s="389"/>
      <c r="H1018" s="389"/>
      <c r="I1018" s="389"/>
      <c r="J1018" s="389"/>
      <c r="K1018" s="389"/>
      <c r="L1018" s="389"/>
      <c r="M1018" s="389"/>
      <c r="N1018" s="389"/>
      <c r="O1018" s="389"/>
      <c r="P1018" s="389"/>
    </row>
    <row r="1019" spans="5:16">
      <c r="E1019" s="389"/>
      <c r="F1019" s="389"/>
      <c r="G1019" s="389"/>
      <c r="H1019" s="389"/>
      <c r="I1019" s="389"/>
      <c r="J1019" s="389"/>
      <c r="K1019" s="389"/>
      <c r="L1019" s="389"/>
      <c r="M1019" s="389"/>
      <c r="N1019" s="389"/>
      <c r="O1019" s="389"/>
      <c r="P1019" s="389"/>
    </row>
    <row r="1020" spans="5:16">
      <c r="E1020" s="389"/>
      <c r="F1020" s="389"/>
      <c r="G1020" s="389"/>
      <c r="H1020" s="389"/>
      <c r="I1020" s="389"/>
      <c r="J1020" s="389"/>
      <c r="K1020" s="389"/>
      <c r="L1020" s="389"/>
      <c r="M1020" s="389"/>
      <c r="N1020" s="389"/>
      <c r="O1020" s="389"/>
      <c r="P1020" s="389"/>
    </row>
    <row r="1021" spans="5:16">
      <c r="E1021" s="389"/>
      <c r="F1021" s="389"/>
      <c r="G1021" s="389"/>
      <c r="H1021" s="389"/>
      <c r="I1021" s="389"/>
      <c r="J1021" s="389"/>
      <c r="K1021" s="389"/>
      <c r="L1021" s="389"/>
      <c r="M1021" s="389"/>
      <c r="N1021" s="389"/>
      <c r="O1021" s="389"/>
      <c r="P1021" s="389"/>
    </row>
    <row r="1022" spans="5:16">
      <c r="E1022" s="389"/>
      <c r="F1022" s="389"/>
      <c r="G1022" s="389"/>
      <c r="H1022" s="389"/>
      <c r="I1022" s="389"/>
      <c r="J1022" s="389"/>
      <c r="K1022" s="389"/>
      <c r="L1022" s="389"/>
      <c r="M1022" s="389"/>
      <c r="N1022" s="389"/>
      <c r="O1022" s="389"/>
      <c r="P1022" s="389"/>
    </row>
    <row r="1023" spans="5:16">
      <c r="E1023" s="389"/>
      <c r="F1023" s="389"/>
      <c r="G1023" s="389"/>
      <c r="H1023" s="389"/>
      <c r="I1023" s="389"/>
      <c r="J1023" s="389"/>
      <c r="K1023" s="389"/>
      <c r="L1023" s="389"/>
      <c r="M1023" s="389"/>
      <c r="N1023" s="389"/>
      <c r="O1023" s="389"/>
      <c r="P1023" s="389"/>
    </row>
    <row r="1024" spans="5:16">
      <c r="E1024" s="389"/>
      <c r="F1024" s="389"/>
      <c r="G1024" s="389"/>
      <c r="H1024" s="389"/>
      <c r="I1024" s="389"/>
      <c r="J1024" s="389"/>
      <c r="K1024" s="389"/>
      <c r="L1024" s="389"/>
      <c r="M1024" s="389"/>
      <c r="N1024" s="389"/>
      <c r="O1024" s="389"/>
      <c r="P1024" s="389"/>
    </row>
    <row r="1025" spans="5:16">
      <c r="E1025" s="389"/>
      <c r="F1025" s="389"/>
      <c r="G1025" s="389"/>
      <c r="H1025" s="389"/>
      <c r="I1025" s="389"/>
      <c r="J1025" s="389"/>
      <c r="K1025" s="389"/>
      <c r="L1025" s="389"/>
      <c r="M1025" s="389"/>
      <c r="N1025" s="389"/>
      <c r="O1025" s="389"/>
      <c r="P1025" s="389"/>
    </row>
    <row r="1026" spans="5:16">
      <c r="E1026" s="389"/>
      <c r="F1026" s="389"/>
      <c r="G1026" s="389"/>
      <c r="H1026" s="389"/>
      <c r="I1026" s="389"/>
      <c r="J1026" s="389"/>
      <c r="K1026" s="389"/>
      <c r="L1026" s="389"/>
      <c r="M1026" s="389"/>
      <c r="N1026" s="389"/>
      <c r="O1026" s="389"/>
      <c r="P1026" s="389"/>
    </row>
    <row r="1027" spans="5:16">
      <c r="E1027" s="389"/>
      <c r="F1027" s="389"/>
      <c r="G1027" s="389"/>
      <c r="H1027" s="389"/>
      <c r="I1027" s="389"/>
      <c r="J1027" s="389"/>
      <c r="K1027" s="389"/>
      <c r="L1027" s="389"/>
      <c r="M1027" s="389"/>
      <c r="N1027" s="389"/>
      <c r="O1027" s="389"/>
      <c r="P1027" s="389"/>
    </row>
    <row r="1028" spans="5:16">
      <c r="E1028" s="389"/>
      <c r="F1028" s="389"/>
      <c r="G1028" s="389"/>
      <c r="H1028" s="389"/>
      <c r="I1028" s="389"/>
      <c r="J1028" s="389"/>
      <c r="K1028" s="389"/>
      <c r="L1028" s="389"/>
      <c r="M1028" s="389"/>
      <c r="N1028" s="389"/>
      <c r="O1028" s="389"/>
      <c r="P1028" s="389"/>
    </row>
    <row r="1029" spans="5:16">
      <c r="E1029" s="389"/>
      <c r="F1029" s="389"/>
      <c r="G1029" s="389"/>
      <c r="H1029" s="389"/>
      <c r="I1029" s="389"/>
      <c r="J1029" s="389"/>
      <c r="K1029" s="389"/>
      <c r="L1029" s="389"/>
      <c r="M1029" s="389"/>
      <c r="N1029" s="389"/>
      <c r="O1029" s="389"/>
      <c r="P1029" s="389"/>
    </row>
    <row r="1030" spans="5:16">
      <c r="E1030" s="389"/>
      <c r="F1030" s="389"/>
      <c r="G1030" s="389"/>
      <c r="H1030" s="389"/>
      <c r="I1030" s="389"/>
      <c r="J1030" s="389"/>
      <c r="K1030" s="389"/>
      <c r="L1030" s="389"/>
      <c r="M1030" s="389"/>
      <c r="N1030" s="389"/>
      <c r="O1030" s="389"/>
      <c r="P1030" s="389"/>
    </row>
    <row r="1031" spans="5:16">
      <c r="E1031" s="389"/>
      <c r="F1031" s="389"/>
      <c r="G1031" s="389"/>
      <c r="H1031" s="389"/>
      <c r="I1031" s="389"/>
      <c r="J1031" s="389"/>
      <c r="K1031" s="389"/>
      <c r="L1031" s="389"/>
      <c r="M1031" s="389"/>
      <c r="N1031" s="389"/>
      <c r="O1031" s="389"/>
      <c r="P1031" s="389"/>
    </row>
    <row r="1032" spans="5:16">
      <c r="E1032" s="389"/>
      <c r="F1032" s="389"/>
      <c r="G1032" s="389"/>
      <c r="H1032" s="389"/>
      <c r="I1032" s="389"/>
      <c r="J1032" s="389"/>
      <c r="K1032" s="389"/>
      <c r="L1032" s="389"/>
      <c r="M1032" s="389"/>
      <c r="N1032" s="389"/>
      <c r="O1032" s="389"/>
      <c r="P1032" s="389"/>
    </row>
    <row r="1033" spans="5:16">
      <c r="E1033" s="389"/>
      <c r="F1033" s="389"/>
      <c r="G1033" s="389"/>
      <c r="H1033" s="389"/>
      <c r="I1033" s="389"/>
      <c r="J1033" s="389"/>
      <c r="K1033" s="389"/>
      <c r="L1033" s="389"/>
      <c r="M1033" s="389"/>
      <c r="N1033" s="389"/>
      <c r="O1033" s="389"/>
      <c r="P1033" s="389"/>
    </row>
    <row r="1034" spans="5:16">
      <c r="E1034" s="389"/>
      <c r="F1034" s="389"/>
      <c r="G1034" s="389"/>
      <c r="H1034" s="389"/>
      <c r="I1034" s="389"/>
      <c r="J1034" s="389"/>
      <c r="K1034" s="389"/>
      <c r="L1034" s="389"/>
      <c r="M1034" s="389"/>
      <c r="N1034" s="389"/>
      <c r="O1034" s="389"/>
      <c r="P1034" s="389"/>
    </row>
    <row r="1035" spans="5:16">
      <c r="E1035" s="389"/>
      <c r="F1035" s="389"/>
      <c r="G1035" s="389"/>
      <c r="H1035" s="389"/>
      <c r="I1035" s="389"/>
      <c r="J1035" s="389"/>
      <c r="K1035" s="389"/>
      <c r="L1035" s="389"/>
      <c r="M1035" s="389"/>
      <c r="N1035" s="389"/>
      <c r="O1035" s="389"/>
      <c r="P1035" s="389"/>
    </row>
    <row r="1036" spans="5:16">
      <c r="E1036" s="389"/>
      <c r="F1036" s="389"/>
      <c r="G1036" s="389"/>
      <c r="H1036" s="389"/>
      <c r="I1036" s="389"/>
      <c r="J1036" s="389"/>
      <c r="K1036" s="389"/>
      <c r="L1036" s="389"/>
      <c r="M1036" s="389"/>
      <c r="N1036" s="389"/>
      <c r="O1036" s="389"/>
      <c r="P1036" s="389"/>
    </row>
    <row r="1037" spans="5:16">
      <c r="E1037" s="389"/>
      <c r="F1037" s="389"/>
      <c r="G1037" s="389"/>
      <c r="H1037" s="389"/>
      <c r="I1037" s="389"/>
      <c r="J1037" s="389"/>
      <c r="K1037" s="389"/>
      <c r="L1037" s="389"/>
      <c r="M1037" s="389"/>
      <c r="N1037" s="389"/>
      <c r="O1037" s="389"/>
      <c r="P1037" s="389"/>
    </row>
    <row r="1038" spans="5:16">
      <c r="E1038" s="389"/>
      <c r="F1038" s="389"/>
      <c r="G1038" s="389"/>
      <c r="H1038" s="389"/>
      <c r="I1038" s="389"/>
      <c r="J1038" s="389"/>
      <c r="K1038" s="389"/>
      <c r="L1038" s="389"/>
      <c r="M1038" s="389"/>
      <c r="N1038" s="389"/>
      <c r="O1038" s="389"/>
      <c r="P1038" s="389"/>
    </row>
    <row r="1039" spans="5:16">
      <c r="E1039" s="389"/>
      <c r="F1039" s="389"/>
      <c r="G1039" s="389"/>
      <c r="H1039" s="389"/>
      <c r="I1039" s="389"/>
      <c r="J1039" s="389"/>
      <c r="K1039" s="389"/>
      <c r="L1039" s="389"/>
      <c r="M1039" s="389"/>
      <c r="N1039" s="389"/>
      <c r="O1039" s="389"/>
      <c r="P1039" s="389"/>
    </row>
    <row r="1040" spans="5:16">
      <c r="E1040" s="389"/>
      <c r="F1040" s="389"/>
      <c r="G1040" s="389"/>
      <c r="H1040" s="389"/>
      <c r="I1040" s="389"/>
      <c r="J1040" s="389"/>
      <c r="K1040" s="389"/>
      <c r="L1040" s="389"/>
      <c r="M1040" s="389"/>
      <c r="N1040" s="389"/>
      <c r="O1040" s="389"/>
      <c r="P1040" s="389"/>
    </row>
    <row r="1041" spans="5:16">
      <c r="E1041" s="389"/>
      <c r="F1041" s="389"/>
      <c r="G1041" s="389"/>
      <c r="H1041" s="389"/>
      <c r="I1041" s="389"/>
      <c r="J1041" s="389"/>
      <c r="K1041" s="389"/>
      <c r="L1041" s="389"/>
      <c r="M1041" s="389"/>
      <c r="N1041" s="389"/>
      <c r="O1041" s="389"/>
      <c r="P1041" s="389"/>
    </row>
    <row r="1042" spans="5:16">
      <c r="E1042" s="389"/>
      <c r="F1042" s="389"/>
      <c r="G1042" s="389"/>
      <c r="H1042" s="389"/>
      <c r="I1042" s="389"/>
      <c r="J1042" s="389"/>
      <c r="K1042" s="389"/>
      <c r="L1042" s="389"/>
      <c r="M1042" s="389"/>
      <c r="N1042" s="389"/>
      <c r="O1042" s="389"/>
      <c r="P1042" s="389"/>
    </row>
    <row r="1043" spans="5:16">
      <c r="E1043" s="389"/>
      <c r="F1043" s="389"/>
      <c r="G1043" s="389"/>
      <c r="H1043" s="389"/>
      <c r="I1043" s="389"/>
      <c r="J1043" s="389"/>
      <c r="K1043" s="389"/>
      <c r="L1043" s="389"/>
      <c r="M1043" s="389"/>
      <c r="N1043" s="389"/>
      <c r="O1043" s="389"/>
      <c r="P1043" s="389"/>
    </row>
    <row r="1044" spans="5:16">
      <c r="E1044" s="389"/>
      <c r="F1044" s="389"/>
      <c r="G1044" s="389"/>
      <c r="H1044" s="389"/>
      <c r="I1044" s="389"/>
      <c r="J1044" s="389"/>
      <c r="K1044" s="389"/>
      <c r="L1044" s="389"/>
      <c r="M1044" s="389"/>
      <c r="N1044" s="389"/>
      <c r="O1044" s="389"/>
      <c r="P1044" s="389"/>
    </row>
    <row r="1045" spans="5:16">
      <c r="E1045" s="389"/>
      <c r="F1045" s="389"/>
      <c r="G1045" s="389"/>
      <c r="H1045" s="389"/>
      <c r="I1045" s="389"/>
      <c r="J1045" s="389"/>
      <c r="K1045" s="389"/>
      <c r="L1045" s="389"/>
      <c r="M1045" s="389"/>
      <c r="N1045" s="389"/>
      <c r="O1045" s="389"/>
      <c r="P1045" s="389"/>
    </row>
    <row r="1046" spans="5:16">
      <c r="E1046" s="389"/>
      <c r="F1046" s="389"/>
      <c r="G1046" s="389"/>
      <c r="H1046" s="389"/>
      <c r="I1046" s="389"/>
      <c r="J1046" s="389"/>
      <c r="K1046" s="389"/>
      <c r="L1046" s="389"/>
      <c r="M1046" s="389"/>
      <c r="N1046" s="389"/>
      <c r="O1046" s="389"/>
      <c r="P1046" s="389"/>
    </row>
    <row r="1047" spans="5:16">
      <c r="E1047" s="389"/>
      <c r="F1047" s="389"/>
      <c r="G1047" s="389"/>
      <c r="H1047" s="389"/>
      <c r="I1047" s="389"/>
      <c r="J1047" s="389"/>
      <c r="K1047" s="389"/>
      <c r="L1047" s="389"/>
      <c r="M1047" s="389"/>
      <c r="N1047" s="389"/>
      <c r="O1047" s="389"/>
      <c r="P1047" s="389"/>
    </row>
    <row r="1048" spans="5:16">
      <c r="E1048" s="389"/>
      <c r="F1048" s="389"/>
      <c r="G1048" s="389"/>
      <c r="H1048" s="389"/>
      <c r="I1048" s="389"/>
      <c r="J1048" s="389"/>
      <c r="K1048" s="389"/>
      <c r="L1048" s="389"/>
      <c r="M1048" s="389"/>
      <c r="N1048" s="389"/>
      <c r="O1048" s="389"/>
      <c r="P1048" s="389"/>
    </row>
    <row r="1049" spans="5:16">
      <c r="E1049" s="389"/>
      <c r="F1049" s="389"/>
      <c r="G1049" s="389"/>
      <c r="H1049" s="389"/>
      <c r="I1049" s="389"/>
      <c r="J1049" s="389"/>
      <c r="K1049" s="389"/>
      <c r="L1049" s="389"/>
      <c r="M1049" s="389"/>
      <c r="N1049" s="389"/>
      <c r="O1049" s="389"/>
      <c r="P1049" s="389"/>
    </row>
    <row r="1050" spans="5:16">
      <c r="E1050" s="389"/>
      <c r="F1050" s="389"/>
      <c r="G1050" s="389"/>
      <c r="H1050" s="389"/>
      <c r="I1050" s="389"/>
      <c r="J1050" s="389"/>
      <c r="K1050" s="389"/>
      <c r="L1050" s="389"/>
      <c r="M1050" s="389"/>
      <c r="N1050" s="389"/>
      <c r="O1050" s="389"/>
      <c r="P1050" s="389"/>
    </row>
    <row r="1051" spans="5:16">
      <c r="E1051" s="389"/>
      <c r="F1051" s="389"/>
      <c r="G1051" s="389"/>
      <c r="H1051" s="389"/>
      <c r="I1051" s="389"/>
      <c r="J1051" s="389"/>
      <c r="K1051" s="389"/>
      <c r="L1051" s="389"/>
      <c r="M1051" s="389"/>
      <c r="N1051" s="389"/>
      <c r="O1051" s="389"/>
      <c r="P1051" s="389"/>
    </row>
    <row r="1052" spans="5:16">
      <c r="E1052" s="389"/>
      <c r="F1052" s="389"/>
      <c r="G1052" s="389"/>
      <c r="H1052" s="389"/>
      <c r="I1052" s="389"/>
      <c r="J1052" s="389"/>
      <c r="K1052" s="389"/>
      <c r="L1052" s="389"/>
      <c r="M1052" s="389"/>
      <c r="N1052" s="389"/>
      <c r="O1052" s="389"/>
      <c r="P1052" s="389"/>
    </row>
    <row r="1053" spans="5:16">
      <c r="E1053" s="389"/>
      <c r="F1053" s="389"/>
      <c r="G1053" s="389"/>
      <c r="H1053" s="389"/>
      <c r="I1053" s="389"/>
      <c r="J1053" s="389"/>
      <c r="K1053" s="389"/>
      <c r="L1053" s="389"/>
      <c r="M1053" s="389"/>
      <c r="N1053" s="389"/>
      <c r="O1053" s="389"/>
      <c r="P1053" s="389"/>
    </row>
    <row r="1054" spans="5:16">
      <c r="E1054" s="389"/>
      <c r="F1054" s="389"/>
      <c r="G1054" s="389"/>
      <c r="H1054" s="389"/>
      <c r="I1054" s="389"/>
      <c r="J1054" s="389"/>
      <c r="K1054" s="389"/>
      <c r="L1054" s="389"/>
      <c r="M1054" s="389"/>
      <c r="N1054" s="389"/>
      <c r="O1054" s="389"/>
      <c r="P1054" s="389"/>
    </row>
    <row r="1055" spans="5:16">
      <c r="E1055" s="389"/>
      <c r="F1055" s="389"/>
      <c r="G1055" s="389"/>
      <c r="H1055" s="389"/>
      <c r="I1055" s="389"/>
      <c r="J1055" s="389"/>
      <c r="K1055" s="389"/>
      <c r="L1055" s="389"/>
      <c r="M1055" s="389"/>
      <c r="N1055" s="389"/>
      <c r="O1055" s="389"/>
      <c r="P1055" s="389"/>
    </row>
    <row r="1056" spans="5:16">
      <c r="E1056" s="389"/>
      <c r="F1056" s="389"/>
      <c r="G1056" s="389"/>
      <c r="H1056" s="389"/>
      <c r="I1056" s="389"/>
      <c r="J1056" s="389"/>
      <c r="K1056" s="389"/>
      <c r="L1056" s="389"/>
      <c r="M1056" s="389"/>
      <c r="N1056" s="389"/>
      <c r="O1056" s="389"/>
      <c r="P1056" s="389"/>
    </row>
    <row r="1057" spans="5:16">
      <c r="E1057" s="389"/>
      <c r="F1057" s="389"/>
      <c r="G1057" s="389"/>
      <c r="H1057" s="389"/>
      <c r="I1057" s="389"/>
      <c r="J1057" s="389"/>
      <c r="K1057" s="389"/>
      <c r="L1057" s="389"/>
      <c r="M1057" s="389"/>
      <c r="N1057" s="389"/>
      <c r="O1057" s="389"/>
      <c r="P1057" s="389"/>
    </row>
    <row r="1058" spans="5:16">
      <c r="E1058" s="389"/>
      <c r="F1058" s="389"/>
      <c r="G1058" s="389"/>
      <c r="H1058" s="389"/>
      <c r="I1058" s="389"/>
      <c r="J1058" s="389"/>
      <c r="K1058" s="389"/>
      <c r="L1058" s="389"/>
      <c r="M1058" s="389"/>
      <c r="N1058" s="389"/>
      <c r="O1058" s="389"/>
      <c r="P1058" s="389"/>
    </row>
    <row r="1059" spans="5:16">
      <c r="E1059" s="389"/>
      <c r="F1059" s="389"/>
      <c r="G1059" s="389"/>
      <c r="H1059" s="389"/>
      <c r="I1059" s="389"/>
      <c r="J1059" s="389"/>
      <c r="K1059" s="389"/>
      <c r="L1059" s="389"/>
      <c r="M1059" s="389"/>
      <c r="N1059" s="389"/>
      <c r="O1059" s="389"/>
      <c r="P1059" s="389"/>
    </row>
    <row r="1060" spans="5:16">
      <c r="E1060" s="389"/>
      <c r="F1060" s="389"/>
      <c r="G1060" s="389"/>
      <c r="H1060" s="389"/>
      <c r="I1060" s="389"/>
      <c r="J1060" s="389"/>
      <c r="K1060" s="389"/>
      <c r="L1060" s="389"/>
      <c r="M1060" s="389"/>
      <c r="N1060" s="389"/>
      <c r="O1060" s="389"/>
      <c r="P1060" s="389"/>
    </row>
    <row r="1061" spans="5:16">
      <c r="E1061" s="389"/>
      <c r="F1061" s="389"/>
      <c r="G1061" s="389"/>
      <c r="H1061" s="389"/>
      <c r="I1061" s="389"/>
      <c r="J1061" s="389"/>
      <c r="K1061" s="389"/>
      <c r="L1061" s="389"/>
      <c r="M1061" s="389"/>
      <c r="N1061" s="389"/>
      <c r="O1061" s="389"/>
      <c r="P1061" s="389"/>
    </row>
    <row r="1062" spans="5:16">
      <c r="E1062" s="389"/>
      <c r="F1062" s="389"/>
      <c r="G1062" s="389"/>
      <c r="H1062" s="389"/>
      <c r="I1062" s="389"/>
      <c r="J1062" s="389"/>
      <c r="K1062" s="389"/>
      <c r="L1062" s="389"/>
      <c r="M1062" s="389"/>
      <c r="N1062" s="389"/>
      <c r="O1062" s="389"/>
      <c r="P1062" s="389"/>
    </row>
    <row r="1063" spans="5:16">
      <c r="E1063" s="389"/>
      <c r="F1063" s="389"/>
      <c r="G1063" s="389"/>
      <c r="H1063" s="389"/>
      <c r="I1063" s="389"/>
      <c r="J1063" s="389"/>
      <c r="K1063" s="389"/>
      <c r="L1063" s="389"/>
      <c r="M1063" s="389"/>
      <c r="N1063" s="389"/>
      <c r="O1063" s="389"/>
      <c r="P1063" s="389"/>
    </row>
    <row r="1064" spans="5:16">
      <c r="E1064" s="389"/>
      <c r="F1064" s="389"/>
      <c r="G1064" s="389"/>
      <c r="H1064" s="389"/>
      <c r="I1064" s="389"/>
      <c r="J1064" s="389"/>
      <c r="K1064" s="389"/>
      <c r="L1064" s="389"/>
      <c r="M1064" s="389"/>
      <c r="N1064" s="389"/>
      <c r="O1064" s="389"/>
      <c r="P1064" s="389"/>
    </row>
    <row r="1065" spans="5:16">
      <c r="E1065" s="389"/>
      <c r="F1065" s="389"/>
      <c r="G1065" s="389"/>
      <c r="H1065" s="389"/>
      <c r="I1065" s="389"/>
      <c r="J1065" s="389"/>
      <c r="K1065" s="389"/>
      <c r="L1065" s="389"/>
      <c r="M1065" s="389"/>
      <c r="N1065" s="389"/>
      <c r="O1065" s="389"/>
      <c r="P1065" s="389"/>
    </row>
    <row r="1066" spans="5:16">
      <c r="E1066" s="389"/>
      <c r="F1066" s="389"/>
      <c r="G1066" s="389"/>
      <c r="H1066" s="389"/>
      <c r="I1066" s="389"/>
      <c r="J1066" s="389"/>
      <c r="K1066" s="389"/>
      <c r="L1066" s="389"/>
      <c r="M1066" s="389"/>
      <c r="N1066" s="389"/>
      <c r="O1066" s="389"/>
      <c r="P1066" s="389"/>
    </row>
    <row r="1067" spans="5:16">
      <c r="E1067" s="389"/>
      <c r="F1067" s="389"/>
      <c r="G1067" s="389"/>
      <c r="H1067" s="389"/>
      <c r="I1067" s="389"/>
      <c r="J1067" s="389"/>
      <c r="K1067" s="389"/>
      <c r="L1067" s="389"/>
      <c r="M1067" s="389"/>
      <c r="N1067" s="389"/>
      <c r="O1067" s="389"/>
      <c r="P1067" s="389"/>
    </row>
    <row r="1068" spans="5:16">
      <c r="E1068" s="389"/>
      <c r="F1068" s="389"/>
      <c r="G1068" s="389"/>
      <c r="H1068" s="389"/>
      <c r="I1068" s="389"/>
      <c r="J1068" s="389"/>
      <c r="K1068" s="389"/>
      <c r="L1068" s="389"/>
      <c r="M1068" s="389"/>
      <c r="N1068" s="389"/>
      <c r="O1068" s="389"/>
      <c r="P1068" s="389"/>
    </row>
    <row r="1069" spans="5:16">
      <c r="E1069" s="389"/>
      <c r="F1069" s="389"/>
      <c r="G1069" s="389"/>
      <c r="H1069" s="389"/>
      <c r="I1069" s="389"/>
      <c r="J1069" s="389"/>
      <c r="K1069" s="389"/>
      <c r="L1069" s="389"/>
      <c r="M1069" s="389"/>
      <c r="N1069" s="389"/>
      <c r="O1069" s="389"/>
      <c r="P1069" s="389"/>
    </row>
    <row r="1070" spans="5:16">
      <c r="E1070" s="389"/>
      <c r="F1070" s="389"/>
      <c r="G1070" s="389"/>
      <c r="H1070" s="389"/>
      <c r="I1070" s="389"/>
      <c r="J1070" s="389"/>
      <c r="K1070" s="389"/>
      <c r="L1070" s="389"/>
      <c r="M1070" s="389"/>
      <c r="N1070" s="389"/>
      <c r="O1070" s="389"/>
      <c r="P1070" s="389"/>
    </row>
    <row r="1071" spans="5:16">
      <c r="E1071" s="389"/>
      <c r="F1071" s="389"/>
      <c r="G1071" s="389"/>
      <c r="H1071" s="389"/>
      <c r="I1071" s="389"/>
      <c r="J1071" s="389"/>
      <c r="K1071" s="389"/>
      <c r="L1071" s="389"/>
      <c r="M1071" s="389"/>
      <c r="N1071" s="389"/>
      <c r="O1071" s="389"/>
      <c r="P1071" s="389"/>
    </row>
    <row r="1072" spans="5:16">
      <c r="E1072" s="389"/>
      <c r="F1072" s="389"/>
      <c r="G1072" s="389"/>
      <c r="H1072" s="389"/>
      <c r="I1072" s="389"/>
      <c r="J1072" s="389"/>
      <c r="K1072" s="389"/>
      <c r="L1072" s="389"/>
      <c r="M1072" s="389"/>
      <c r="N1072" s="389"/>
      <c r="O1072" s="389"/>
      <c r="P1072" s="389"/>
    </row>
    <row r="1073" spans="5:16">
      <c r="E1073" s="389"/>
      <c r="F1073" s="389"/>
      <c r="G1073" s="389"/>
      <c r="H1073" s="389"/>
      <c r="I1073" s="389"/>
      <c r="J1073" s="389"/>
      <c r="K1073" s="389"/>
      <c r="L1073" s="389"/>
      <c r="M1073" s="389"/>
      <c r="N1073" s="389"/>
      <c r="O1073" s="389"/>
      <c r="P1073" s="389"/>
    </row>
    <row r="1074" spans="5:16">
      <c r="E1074" s="389"/>
      <c r="F1074" s="389"/>
      <c r="G1074" s="389"/>
      <c r="H1074" s="389"/>
      <c r="I1074" s="389"/>
      <c r="J1074" s="389"/>
      <c r="K1074" s="389"/>
      <c r="L1074" s="389"/>
      <c r="M1074" s="389"/>
      <c r="N1074" s="389"/>
      <c r="O1074" s="389"/>
      <c r="P1074" s="389"/>
    </row>
    <row r="1075" spans="5:16">
      <c r="E1075" s="389"/>
      <c r="F1075" s="389"/>
      <c r="G1075" s="389"/>
      <c r="H1075" s="389"/>
      <c r="I1075" s="389"/>
      <c r="J1075" s="389"/>
      <c r="K1075" s="389"/>
      <c r="L1075" s="389"/>
      <c r="M1075" s="389"/>
      <c r="N1075" s="389"/>
      <c r="O1075" s="389"/>
      <c r="P1075" s="389"/>
    </row>
    <row r="1076" spans="5:16">
      <c r="E1076" s="389"/>
      <c r="F1076" s="389"/>
      <c r="G1076" s="389"/>
      <c r="H1076" s="389"/>
      <c r="I1076" s="389"/>
      <c r="J1076" s="389"/>
      <c r="K1076" s="389"/>
      <c r="L1076" s="389"/>
      <c r="M1076" s="389"/>
      <c r="N1076" s="389"/>
      <c r="O1076" s="389"/>
      <c r="P1076" s="389"/>
    </row>
    <row r="1077" spans="5:16">
      <c r="E1077" s="389"/>
      <c r="F1077" s="389"/>
      <c r="G1077" s="389"/>
      <c r="H1077" s="389"/>
      <c r="I1077" s="389"/>
      <c r="J1077" s="389"/>
      <c r="K1077" s="389"/>
      <c r="L1077" s="389"/>
      <c r="M1077" s="389"/>
      <c r="N1077" s="389"/>
      <c r="O1077" s="389"/>
      <c r="P1077" s="389"/>
    </row>
    <row r="1078" spans="5:16">
      <c r="E1078" s="389"/>
      <c r="F1078" s="389"/>
      <c r="G1078" s="389"/>
      <c r="H1078" s="389"/>
      <c r="I1078" s="389"/>
      <c r="J1078" s="389"/>
      <c r="K1078" s="389"/>
      <c r="L1078" s="389"/>
      <c r="M1078" s="389"/>
      <c r="N1078" s="389"/>
      <c r="O1078" s="389"/>
      <c r="P1078" s="389"/>
    </row>
    <row r="1079" spans="5:16">
      <c r="E1079" s="389"/>
      <c r="F1079" s="389"/>
      <c r="G1079" s="389"/>
      <c r="H1079" s="389"/>
      <c r="I1079" s="389"/>
      <c r="J1079" s="389"/>
      <c r="K1079" s="389"/>
      <c r="L1079" s="389"/>
      <c r="M1079" s="389"/>
      <c r="N1079" s="389"/>
      <c r="O1079" s="389"/>
      <c r="P1079" s="389"/>
    </row>
    <row r="1080" spans="5:16">
      <c r="E1080" s="389"/>
      <c r="F1080" s="389"/>
      <c r="G1080" s="389"/>
      <c r="H1080" s="389"/>
      <c r="I1080" s="389"/>
      <c r="J1080" s="389"/>
      <c r="K1080" s="389"/>
      <c r="L1080" s="389"/>
      <c r="M1080" s="389"/>
      <c r="N1080" s="389"/>
      <c r="O1080" s="389"/>
      <c r="P1080" s="389"/>
    </row>
    <row r="1081" spans="5:16">
      <c r="E1081" s="389"/>
      <c r="F1081" s="389"/>
      <c r="G1081" s="389"/>
      <c r="H1081" s="389"/>
      <c r="I1081" s="389"/>
      <c r="J1081" s="389"/>
      <c r="K1081" s="389"/>
      <c r="L1081" s="389"/>
      <c r="M1081" s="389"/>
      <c r="N1081" s="389"/>
      <c r="O1081" s="389"/>
      <c r="P1081" s="389"/>
    </row>
    <row r="1082" spans="5:16">
      <c r="E1082" s="389"/>
      <c r="F1082" s="389"/>
      <c r="G1082" s="389"/>
      <c r="H1082" s="389"/>
      <c r="I1082" s="389"/>
      <c r="J1082" s="389"/>
      <c r="K1082" s="389"/>
      <c r="L1082" s="389"/>
      <c r="M1082" s="389"/>
      <c r="N1082" s="389"/>
      <c r="O1082" s="389"/>
      <c r="P1082" s="389"/>
    </row>
    <row r="1083" spans="5:16">
      <c r="E1083" s="389"/>
      <c r="F1083" s="389"/>
      <c r="G1083" s="389"/>
      <c r="H1083" s="389"/>
      <c r="I1083" s="389"/>
      <c r="J1083" s="389"/>
      <c r="K1083" s="389"/>
      <c r="L1083" s="389"/>
      <c r="M1083" s="389"/>
      <c r="N1083" s="389"/>
      <c r="O1083" s="389"/>
      <c r="P1083" s="389"/>
    </row>
    <row r="1084" spans="5:16">
      <c r="E1084" s="389"/>
      <c r="F1084" s="389"/>
      <c r="G1084" s="389"/>
      <c r="H1084" s="389"/>
      <c r="I1084" s="389"/>
      <c r="J1084" s="389"/>
      <c r="K1084" s="389"/>
      <c r="L1084" s="389"/>
      <c r="M1084" s="389"/>
      <c r="N1084" s="389"/>
      <c r="O1084" s="389"/>
      <c r="P1084" s="389"/>
    </row>
    <row r="1085" spans="5:16">
      <c r="E1085" s="389"/>
      <c r="F1085" s="389"/>
      <c r="G1085" s="389"/>
      <c r="H1085" s="389"/>
      <c r="I1085" s="389"/>
      <c r="J1085" s="389"/>
      <c r="K1085" s="389"/>
      <c r="L1085" s="389"/>
      <c r="M1085" s="389"/>
      <c r="N1085" s="389"/>
      <c r="O1085" s="389"/>
      <c r="P1085" s="389"/>
    </row>
    <row r="1086" spans="5:16">
      <c r="E1086" s="389"/>
      <c r="F1086" s="389"/>
      <c r="G1086" s="389"/>
      <c r="H1086" s="389"/>
      <c r="I1086" s="389"/>
      <c r="J1086" s="389"/>
      <c r="K1086" s="389"/>
      <c r="L1086" s="389"/>
      <c r="M1086" s="389"/>
      <c r="N1086" s="389"/>
      <c r="O1086" s="389"/>
      <c r="P1086" s="389"/>
    </row>
    <row r="1087" spans="5:16">
      <c r="E1087" s="389"/>
      <c r="F1087" s="389"/>
      <c r="G1087" s="389"/>
      <c r="H1087" s="389"/>
      <c r="I1087" s="389"/>
      <c r="J1087" s="389"/>
      <c r="K1087" s="389"/>
      <c r="L1087" s="389"/>
      <c r="M1087" s="389"/>
      <c r="N1087" s="389"/>
      <c r="O1087" s="389"/>
      <c r="P1087" s="389"/>
    </row>
    <row r="1088" spans="5:16">
      <c r="E1088" s="389"/>
      <c r="F1088" s="389"/>
      <c r="G1088" s="389"/>
      <c r="H1088" s="389"/>
      <c r="I1088" s="389"/>
      <c r="J1088" s="389"/>
      <c r="K1088" s="389"/>
      <c r="L1088" s="389"/>
      <c r="M1088" s="389"/>
      <c r="N1088" s="389"/>
      <c r="O1088" s="389"/>
      <c r="P1088" s="389"/>
    </row>
    <row r="1089" spans="5:16">
      <c r="E1089" s="389"/>
      <c r="F1089" s="389"/>
      <c r="G1089" s="389"/>
      <c r="H1089" s="389"/>
      <c r="I1089" s="389"/>
      <c r="J1089" s="389"/>
      <c r="K1089" s="389"/>
      <c r="L1089" s="389"/>
      <c r="M1089" s="389"/>
      <c r="N1089" s="389"/>
      <c r="O1089" s="389"/>
      <c r="P1089" s="389"/>
    </row>
    <row r="1090" spans="5:16">
      <c r="E1090" s="389"/>
      <c r="F1090" s="389"/>
      <c r="G1090" s="389"/>
      <c r="H1090" s="389"/>
      <c r="I1090" s="389"/>
      <c r="J1090" s="389"/>
      <c r="K1090" s="389"/>
      <c r="L1090" s="389"/>
      <c r="M1090" s="389"/>
      <c r="N1090" s="389"/>
      <c r="O1090" s="389"/>
      <c r="P1090" s="389"/>
    </row>
    <row r="1091" spans="5:16">
      <c r="E1091" s="389"/>
      <c r="F1091" s="389"/>
      <c r="G1091" s="389"/>
      <c r="H1091" s="389"/>
      <c r="I1091" s="389"/>
      <c r="J1091" s="389"/>
      <c r="K1091" s="389"/>
      <c r="L1091" s="389"/>
      <c r="M1091" s="389"/>
      <c r="N1091" s="389"/>
      <c r="O1091" s="389"/>
      <c r="P1091" s="389"/>
    </row>
    <row r="1092" spans="5:16">
      <c r="E1092" s="389"/>
      <c r="F1092" s="389"/>
      <c r="G1092" s="389"/>
      <c r="H1092" s="389"/>
      <c r="I1092" s="389"/>
      <c r="J1092" s="389"/>
      <c r="K1092" s="389"/>
      <c r="L1092" s="389"/>
      <c r="M1092" s="389"/>
      <c r="N1092" s="389"/>
      <c r="O1092" s="389"/>
      <c r="P1092" s="389"/>
    </row>
    <row r="1093" spans="5:16">
      <c r="E1093" s="389"/>
      <c r="F1093" s="389"/>
      <c r="G1093" s="389"/>
      <c r="H1093" s="389"/>
      <c r="I1093" s="389"/>
      <c r="J1093" s="389"/>
      <c r="K1093" s="389"/>
      <c r="L1093" s="389"/>
      <c r="M1093" s="389"/>
      <c r="N1093" s="389"/>
      <c r="O1093" s="389"/>
      <c r="P1093" s="389"/>
    </row>
    <row r="1094" spans="5:16">
      <c r="E1094" s="389"/>
      <c r="F1094" s="389"/>
      <c r="G1094" s="389"/>
      <c r="H1094" s="389"/>
      <c r="I1094" s="389"/>
      <c r="J1094" s="389"/>
      <c r="K1094" s="389"/>
      <c r="L1094" s="389"/>
      <c r="M1094" s="389"/>
      <c r="N1094" s="389"/>
      <c r="O1094" s="389"/>
      <c r="P1094" s="389"/>
    </row>
    <row r="1095" spans="5:16">
      <c r="E1095" s="389"/>
      <c r="F1095" s="389"/>
      <c r="G1095" s="389"/>
      <c r="H1095" s="389"/>
      <c r="I1095" s="389"/>
      <c r="J1095" s="389"/>
      <c r="K1095" s="389"/>
      <c r="L1095" s="389"/>
      <c r="M1095" s="389"/>
      <c r="N1095" s="389"/>
      <c r="O1095" s="389"/>
      <c r="P1095" s="389"/>
    </row>
    <row r="1096" spans="5:16">
      <c r="E1096" s="389"/>
      <c r="F1096" s="389"/>
      <c r="G1096" s="389"/>
      <c r="H1096" s="389"/>
      <c r="I1096" s="389"/>
      <c r="J1096" s="389"/>
      <c r="K1096" s="389"/>
      <c r="L1096" s="389"/>
      <c r="M1096" s="389"/>
      <c r="N1096" s="389"/>
      <c r="O1096" s="389"/>
      <c r="P1096" s="389"/>
    </row>
    <row r="1097" spans="5:16">
      <c r="E1097" s="389"/>
      <c r="F1097" s="389"/>
      <c r="G1097" s="389"/>
      <c r="H1097" s="389"/>
      <c r="I1097" s="389"/>
      <c r="J1097" s="389"/>
      <c r="K1097" s="389"/>
      <c r="L1097" s="389"/>
      <c r="M1097" s="389"/>
      <c r="N1097" s="389"/>
      <c r="O1097" s="389"/>
      <c r="P1097" s="389"/>
    </row>
    <row r="1098" spans="5:16">
      <c r="E1098" s="389"/>
      <c r="F1098" s="389"/>
      <c r="G1098" s="389"/>
      <c r="H1098" s="389"/>
      <c r="I1098" s="389"/>
      <c r="J1098" s="389"/>
      <c r="K1098" s="389"/>
      <c r="L1098" s="389"/>
      <c r="M1098" s="389"/>
      <c r="N1098" s="389"/>
      <c r="O1098" s="389"/>
      <c r="P1098" s="389"/>
    </row>
    <row r="1099" spans="5:16">
      <c r="E1099" s="389"/>
      <c r="F1099" s="389"/>
      <c r="G1099" s="389"/>
      <c r="H1099" s="389"/>
      <c r="I1099" s="389"/>
      <c r="J1099" s="389"/>
      <c r="K1099" s="389"/>
      <c r="L1099" s="389"/>
      <c r="M1099" s="389"/>
      <c r="N1099" s="389"/>
      <c r="O1099" s="389"/>
      <c r="P1099" s="389"/>
    </row>
    <row r="1100" spans="5:16">
      <c r="E1100" s="389"/>
      <c r="F1100" s="389"/>
      <c r="G1100" s="389"/>
      <c r="H1100" s="389"/>
      <c r="I1100" s="389"/>
      <c r="J1100" s="389"/>
      <c r="K1100" s="389"/>
      <c r="L1100" s="389"/>
      <c r="M1100" s="389"/>
      <c r="N1100" s="389"/>
      <c r="O1100" s="389"/>
      <c r="P1100" s="389"/>
    </row>
    <row r="1101" spans="5:16">
      <c r="E1101" s="389"/>
      <c r="F1101" s="389"/>
      <c r="G1101" s="389"/>
      <c r="H1101" s="389"/>
      <c r="I1101" s="389"/>
      <c r="J1101" s="389"/>
      <c r="K1101" s="389"/>
      <c r="L1101" s="389"/>
      <c r="M1101" s="389"/>
      <c r="N1101" s="389"/>
      <c r="O1101" s="389"/>
      <c r="P1101" s="389"/>
    </row>
    <row r="1102" spans="5:16">
      <c r="E1102" s="389"/>
      <c r="F1102" s="389"/>
      <c r="G1102" s="389"/>
      <c r="H1102" s="389"/>
      <c r="I1102" s="389"/>
      <c r="J1102" s="389"/>
      <c r="K1102" s="389"/>
      <c r="L1102" s="389"/>
      <c r="M1102" s="389"/>
      <c r="N1102" s="389"/>
      <c r="O1102" s="389"/>
      <c r="P1102" s="389"/>
    </row>
    <row r="1103" spans="5:16">
      <c r="E1103" s="389"/>
      <c r="F1103" s="389"/>
      <c r="G1103" s="389"/>
      <c r="H1103" s="389"/>
      <c r="I1103" s="389"/>
      <c r="J1103" s="389"/>
      <c r="K1103" s="389"/>
      <c r="L1103" s="389"/>
      <c r="M1103" s="389"/>
      <c r="N1103" s="389"/>
      <c r="O1103" s="389"/>
      <c r="P1103" s="389"/>
    </row>
    <row r="1104" spans="5:16">
      <c r="E1104" s="389"/>
      <c r="F1104" s="389"/>
      <c r="G1104" s="389"/>
      <c r="H1104" s="389"/>
      <c r="I1104" s="389"/>
      <c r="J1104" s="389"/>
      <c r="K1104" s="389"/>
      <c r="L1104" s="389"/>
      <c r="M1104" s="389"/>
      <c r="N1104" s="389"/>
      <c r="O1104" s="389"/>
      <c r="P1104" s="389"/>
    </row>
    <row r="1105" spans="5:16">
      <c r="E1105" s="389"/>
      <c r="F1105" s="389"/>
      <c r="G1105" s="389"/>
      <c r="H1105" s="389"/>
      <c r="I1105" s="389"/>
      <c r="J1105" s="389"/>
      <c r="K1105" s="389"/>
      <c r="L1105" s="389"/>
      <c r="M1105" s="389"/>
      <c r="N1105" s="389"/>
      <c r="O1105" s="389"/>
      <c r="P1105" s="389"/>
    </row>
    <row r="1106" spans="5:16">
      <c r="E1106" s="389"/>
      <c r="F1106" s="389"/>
      <c r="G1106" s="389"/>
      <c r="H1106" s="389"/>
      <c r="I1106" s="389"/>
      <c r="J1106" s="389"/>
      <c r="K1106" s="389"/>
      <c r="L1106" s="389"/>
      <c r="M1106" s="389"/>
      <c r="N1106" s="389"/>
      <c r="O1106" s="389"/>
      <c r="P1106" s="389"/>
    </row>
    <row r="1107" spans="5:16">
      <c r="E1107" s="389"/>
      <c r="F1107" s="389"/>
      <c r="G1107" s="389"/>
      <c r="H1107" s="389"/>
      <c r="I1107" s="389"/>
      <c r="J1107" s="389"/>
      <c r="K1107" s="389"/>
      <c r="L1107" s="389"/>
      <c r="M1107" s="389"/>
      <c r="N1107" s="389"/>
      <c r="O1107" s="389"/>
      <c r="P1107" s="389"/>
    </row>
    <row r="1108" spans="5:16">
      <c r="E1108" s="389"/>
      <c r="F1108" s="389"/>
      <c r="G1108" s="389"/>
      <c r="H1108" s="389"/>
      <c r="I1108" s="389"/>
      <c r="J1108" s="389"/>
      <c r="K1108" s="389"/>
      <c r="L1108" s="389"/>
      <c r="M1108" s="389"/>
      <c r="N1108" s="389"/>
      <c r="O1108" s="389"/>
      <c r="P1108" s="389"/>
    </row>
    <row r="1109" spans="5:16">
      <c r="E1109" s="389"/>
      <c r="F1109" s="389"/>
      <c r="G1109" s="389"/>
      <c r="H1109" s="389"/>
      <c r="I1109" s="389"/>
      <c r="J1109" s="389"/>
      <c r="K1109" s="389"/>
      <c r="L1109" s="389"/>
      <c r="M1109" s="389"/>
      <c r="N1109" s="389"/>
      <c r="O1109" s="389"/>
      <c r="P1109" s="389"/>
    </row>
    <row r="1110" spans="5:16">
      <c r="E1110" s="389"/>
      <c r="F1110" s="389"/>
      <c r="G1110" s="389"/>
      <c r="H1110" s="389"/>
      <c r="I1110" s="389"/>
      <c r="J1110" s="389"/>
      <c r="K1110" s="389"/>
      <c r="L1110" s="389"/>
      <c r="M1110" s="389"/>
      <c r="N1110" s="389"/>
      <c r="O1110" s="389"/>
      <c r="P1110" s="389"/>
    </row>
    <row r="1111" spans="5:16">
      <c r="E1111" s="389"/>
      <c r="F1111" s="389"/>
      <c r="G1111" s="389"/>
      <c r="H1111" s="389"/>
      <c r="I1111" s="389"/>
      <c r="J1111" s="389"/>
      <c r="K1111" s="389"/>
      <c r="L1111" s="389"/>
      <c r="M1111" s="389"/>
      <c r="N1111" s="389"/>
      <c r="O1111" s="389"/>
      <c r="P1111" s="389"/>
    </row>
    <row r="1112" spans="5:16">
      <c r="E1112" s="389"/>
      <c r="F1112" s="389"/>
      <c r="G1112" s="389"/>
      <c r="H1112" s="389"/>
      <c r="I1112" s="389"/>
      <c r="J1112" s="389"/>
      <c r="K1112" s="389"/>
      <c r="L1112" s="389"/>
      <c r="M1112" s="389"/>
      <c r="N1112" s="389"/>
      <c r="O1112" s="389"/>
      <c r="P1112" s="389"/>
    </row>
    <row r="1113" spans="5:16">
      <c r="E1113" s="389"/>
      <c r="F1113" s="389"/>
      <c r="G1113" s="389"/>
      <c r="H1113" s="389"/>
      <c r="I1113" s="389"/>
      <c r="J1113" s="389"/>
      <c r="K1113" s="389"/>
      <c r="L1113" s="389"/>
      <c r="M1113" s="389"/>
      <c r="N1113" s="389"/>
      <c r="O1113" s="389"/>
      <c r="P1113" s="389"/>
    </row>
    <row r="1114" spans="5:16">
      <c r="E1114" s="389"/>
      <c r="F1114" s="389"/>
      <c r="G1114" s="389"/>
      <c r="H1114" s="389"/>
      <c r="I1114" s="389"/>
      <c r="J1114" s="389"/>
      <c r="K1114" s="389"/>
      <c r="L1114" s="389"/>
      <c r="M1114" s="389"/>
      <c r="N1114" s="389"/>
      <c r="O1114" s="389"/>
      <c r="P1114" s="389"/>
    </row>
    <row r="1115" spans="5:16">
      <c r="E1115" s="389"/>
      <c r="F1115" s="389"/>
      <c r="G1115" s="389"/>
      <c r="H1115" s="389"/>
      <c r="I1115" s="389"/>
      <c r="J1115" s="389"/>
      <c r="K1115" s="389"/>
      <c r="L1115" s="389"/>
      <c r="M1115" s="389"/>
      <c r="N1115" s="389"/>
      <c r="O1115" s="389"/>
      <c r="P1115" s="389"/>
    </row>
    <row r="1116" spans="5:16">
      <c r="E1116" s="389"/>
      <c r="F1116" s="389"/>
      <c r="G1116" s="389"/>
      <c r="H1116" s="389"/>
      <c r="I1116" s="389"/>
      <c r="J1116" s="389"/>
      <c r="K1116" s="389"/>
      <c r="L1116" s="389"/>
      <c r="M1116" s="389"/>
      <c r="N1116" s="389"/>
      <c r="O1116" s="389"/>
      <c r="P1116" s="389"/>
    </row>
    <row r="1117" spans="5:16">
      <c r="E1117" s="389"/>
      <c r="F1117" s="389"/>
      <c r="G1117" s="389"/>
      <c r="H1117" s="389"/>
      <c r="I1117" s="389"/>
      <c r="J1117" s="389"/>
      <c r="K1117" s="389"/>
      <c r="L1117" s="389"/>
      <c r="M1117" s="389"/>
      <c r="N1117" s="389"/>
      <c r="O1117" s="389"/>
      <c r="P1117" s="389"/>
    </row>
    <row r="1118" spans="5:16">
      <c r="E1118" s="389"/>
      <c r="F1118" s="389"/>
      <c r="G1118" s="389"/>
      <c r="H1118" s="389"/>
      <c r="I1118" s="389"/>
      <c r="J1118" s="389"/>
      <c r="K1118" s="389"/>
      <c r="L1118" s="389"/>
      <c r="M1118" s="389"/>
      <c r="N1118" s="389"/>
      <c r="O1118" s="389"/>
      <c r="P1118" s="389"/>
    </row>
    <row r="1119" spans="5:16">
      <c r="E1119" s="389"/>
      <c r="F1119" s="389"/>
      <c r="G1119" s="389"/>
      <c r="H1119" s="389"/>
      <c r="I1119" s="389"/>
      <c r="J1119" s="389"/>
      <c r="K1119" s="389"/>
      <c r="L1119" s="389"/>
      <c r="M1119" s="389"/>
      <c r="N1119" s="389"/>
      <c r="O1119" s="389"/>
      <c r="P1119" s="389"/>
    </row>
    <row r="1120" spans="5:16">
      <c r="E1120" s="389"/>
      <c r="F1120" s="389"/>
      <c r="G1120" s="389"/>
      <c r="H1120" s="389"/>
      <c r="I1120" s="389"/>
      <c r="J1120" s="389"/>
      <c r="K1120" s="389"/>
      <c r="L1120" s="389"/>
      <c r="M1120" s="389"/>
      <c r="N1120" s="389"/>
      <c r="O1120" s="389"/>
      <c r="P1120" s="389"/>
    </row>
    <row r="1121" spans="5:16">
      <c r="E1121" s="389"/>
      <c r="F1121" s="389"/>
      <c r="G1121" s="389"/>
      <c r="H1121" s="389"/>
      <c r="I1121" s="389"/>
      <c r="J1121" s="389"/>
      <c r="K1121" s="389"/>
      <c r="L1121" s="389"/>
      <c r="M1121" s="389"/>
      <c r="N1121" s="389"/>
      <c r="O1121" s="389"/>
      <c r="P1121" s="389"/>
    </row>
    <row r="1122" spans="5:16">
      <c r="E1122" s="389"/>
      <c r="F1122" s="389"/>
      <c r="G1122" s="389"/>
      <c r="H1122" s="389"/>
      <c r="I1122" s="389"/>
      <c r="J1122" s="389"/>
      <c r="K1122" s="389"/>
      <c r="L1122" s="389"/>
      <c r="M1122" s="389"/>
      <c r="N1122" s="389"/>
      <c r="O1122" s="389"/>
      <c r="P1122" s="389"/>
    </row>
    <row r="1123" spans="5:16">
      <c r="E1123" s="389"/>
      <c r="F1123" s="389"/>
      <c r="G1123" s="389"/>
      <c r="H1123" s="389"/>
      <c r="I1123" s="389"/>
      <c r="J1123" s="389"/>
      <c r="K1123" s="389"/>
      <c r="L1123" s="389"/>
      <c r="M1123" s="389"/>
      <c r="N1123" s="389"/>
      <c r="O1123" s="389"/>
      <c r="P1123" s="389"/>
    </row>
    <row r="1124" spans="5:16">
      <c r="E1124" s="389"/>
      <c r="F1124" s="389"/>
      <c r="G1124" s="389"/>
      <c r="H1124" s="389"/>
      <c r="I1124" s="389"/>
      <c r="J1124" s="389"/>
      <c r="K1124" s="389"/>
      <c r="L1124" s="389"/>
      <c r="M1124" s="389"/>
      <c r="N1124" s="389"/>
      <c r="O1124" s="389"/>
      <c r="P1124" s="389"/>
    </row>
    <row r="1125" spans="5:16">
      <c r="E1125" s="389"/>
      <c r="F1125" s="389"/>
      <c r="G1125" s="389"/>
      <c r="H1125" s="389"/>
      <c r="I1125" s="389"/>
      <c r="J1125" s="389"/>
      <c r="K1125" s="389"/>
      <c r="L1125" s="389"/>
      <c r="M1125" s="389"/>
      <c r="N1125" s="389"/>
      <c r="O1125" s="389"/>
      <c r="P1125" s="389"/>
    </row>
    <row r="1126" spans="5:16">
      <c r="E1126" s="389"/>
      <c r="F1126" s="389"/>
      <c r="G1126" s="389"/>
      <c r="H1126" s="389"/>
      <c r="I1126" s="389"/>
      <c r="J1126" s="389"/>
      <c r="K1126" s="389"/>
      <c r="L1126" s="389"/>
      <c r="M1126" s="389"/>
      <c r="N1126" s="389"/>
      <c r="O1126" s="389"/>
      <c r="P1126" s="389"/>
    </row>
    <row r="1127" spans="5:16">
      <c r="E1127" s="389"/>
      <c r="F1127" s="389"/>
      <c r="G1127" s="389"/>
      <c r="H1127" s="389"/>
      <c r="I1127" s="389"/>
      <c r="J1127" s="389"/>
      <c r="K1127" s="389"/>
      <c r="L1127" s="389"/>
      <c r="M1127" s="389"/>
      <c r="N1127" s="389"/>
      <c r="O1127" s="389"/>
      <c r="P1127" s="389"/>
    </row>
    <row r="1128" spans="5:16">
      <c r="E1128" s="389"/>
      <c r="F1128" s="389"/>
      <c r="G1128" s="389"/>
      <c r="H1128" s="389"/>
      <c r="I1128" s="389"/>
      <c r="J1128" s="389"/>
      <c r="K1128" s="389"/>
      <c r="L1128" s="389"/>
      <c r="M1128" s="389"/>
      <c r="N1128" s="389"/>
      <c r="O1128" s="389"/>
      <c r="P1128" s="389"/>
    </row>
    <row r="1129" spans="5:16">
      <c r="E1129" s="389"/>
      <c r="F1129" s="389"/>
      <c r="G1129" s="389"/>
      <c r="H1129" s="389"/>
      <c r="I1129" s="389"/>
      <c r="J1129" s="389"/>
      <c r="K1129" s="389"/>
      <c r="L1129" s="389"/>
      <c r="M1129" s="389"/>
      <c r="N1129" s="389"/>
      <c r="O1129" s="389"/>
      <c r="P1129" s="389"/>
    </row>
    <row r="1130" spans="5:16">
      <c r="E1130" s="389"/>
      <c r="F1130" s="389"/>
      <c r="G1130" s="389"/>
      <c r="H1130" s="389"/>
      <c r="I1130" s="389"/>
      <c r="J1130" s="389"/>
      <c r="K1130" s="389"/>
      <c r="L1130" s="389"/>
      <c r="M1130" s="389"/>
      <c r="N1130" s="389"/>
      <c r="O1130" s="389"/>
      <c r="P1130" s="389"/>
    </row>
    <row r="1131" spans="5:16">
      <c r="E1131" s="389"/>
      <c r="F1131" s="389"/>
      <c r="G1131" s="389"/>
      <c r="H1131" s="389"/>
      <c r="I1131" s="389"/>
      <c r="J1131" s="389"/>
      <c r="K1131" s="389"/>
      <c r="L1131" s="389"/>
      <c r="M1131" s="389"/>
      <c r="N1131" s="389"/>
      <c r="O1131" s="389"/>
      <c r="P1131" s="389"/>
    </row>
    <row r="1132" spans="5:16">
      <c r="E1132" s="389"/>
      <c r="F1132" s="389"/>
      <c r="G1132" s="389"/>
      <c r="H1132" s="389"/>
      <c r="I1132" s="389"/>
      <c r="J1132" s="389"/>
      <c r="K1132" s="389"/>
      <c r="L1132" s="389"/>
      <c r="M1132" s="389"/>
      <c r="N1132" s="389"/>
      <c r="O1132" s="389"/>
      <c r="P1132" s="389"/>
    </row>
    <row r="1133" spans="5:16">
      <c r="E1133" s="389"/>
      <c r="F1133" s="389"/>
      <c r="G1133" s="389"/>
      <c r="H1133" s="389"/>
      <c r="I1133" s="389"/>
      <c r="J1133" s="389"/>
      <c r="K1133" s="389"/>
      <c r="L1133" s="389"/>
      <c r="M1133" s="389"/>
      <c r="N1133" s="389"/>
      <c r="O1133" s="389"/>
      <c r="P1133" s="389"/>
    </row>
    <row r="1134" spans="5:16">
      <c r="E1134" s="389"/>
      <c r="F1134" s="389"/>
      <c r="G1134" s="389"/>
      <c r="H1134" s="389"/>
      <c r="I1134" s="389"/>
      <c r="J1134" s="389"/>
      <c r="K1134" s="389"/>
      <c r="L1134" s="389"/>
      <c r="M1134" s="389"/>
      <c r="N1134" s="389"/>
      <c r="O1134" s="389"/>
      <c r="P1134" s="389"/>
    </row>
    <row r="1135" spans="5:16">
      <c r="E1135" s="389"/>
      <c r="F1135" s="389"/>
      <c r="G1135" s="389"/>
      <c r="H1135" s="389"/>
      <c r="I1135" s="389"/>
      <c r="J1135" s="389"/>
      <c r="K1135" s="389"/>
      <c r="L1135" s="389"/>
      <c r="M1135" s="389"/>
      <c r="N1135" s="389"/>
      <c r="O1135" s="389"/>
      <c r="P1135" s="389"/>
    </row>
    <row r="1136" spans="5:16">
      <c r="E1136" s="389"/>
      <c r="F1136" s="389"/>
      <c r="G1136" s="389"/>
      <c r="H1136" s="389"/>
      <c r="I1136" s="389"/>
      <c r="J1136" s="389"/>
      <c r="K1136" s="389"/>
      <c r="L1136" s="389"/>
      <c r="M1136" s="389"/>
      <c r="N1136" s="389"/>
      <c r="O1136" s="389"/>
      <c r="P1136" s="389"/>
    </row>
    <row r="1137" spans="5:16">
      <c r="E1137" s="389"/>
      <c r="F1137" s="389"/>
      <c r="G1137" s="389"/>
      <c r="H1137" s="389"/>
      <c r="I1137" s="389"/>
      <c r="J1137" s="389"/>
      <c r="K1137" s="389"/>
      <c r="L1137" s="389"/>
      <c r="M1137" s="389"/>
      <c r="N1137" s="389"/>
      <c r="O1137" s="389"/>
      <c r="P1137" s="389"/>
    </row>
    <row r="1138" spans="5:16">
      <c r="E1138" s="389"/>
      <c r="F1138" s="389"/>
      <c r="G1138" s="389"/>
      <c r="H1138" s="389"/>
      <c r="I1138" s="389"/>
      <c r="J1138" s="389"/>
      <c r="K1138" s="389"/>
      <c r="L1138" s="389"/>
      <c r="M1138" s="389"/>
      <c r="N1138" s="389"/>
      <c r="O1138" s="389"/>
      <c r="P1138" s="389"/>
    </row>
    <row r="1139" spans="5:16">
      <c r="E1139" s="389"/>
      <c r="F1139" s="389"/>
      <c r="G1139" s="389"/>
      <c r="H1139" s="389"/>
      <c r="I1139" s="389"/>
      <c r="J1139" s="389"/>
      <c r="K1139" s="389"/>
      <c r="L1139" s="389"/>
      <c r="M1139" s="389"/>
      <c r="N1139" s="389"/>
      <c r="O1139" s="389"/>
      <c r="P1139" s="389"/>
    </row>
    <row r="1140" spans="5:16">
      <c r="E1140" s="389"/>
      <c r="F1140" s="389"/>
      <c r="G1140" s="389"/>
      <c r="H1140" s="389"/>
      <c r="I1140" s="389"/>
      <c r="J1140" s="389"/>
      <c r="K1140" s="389"/>
      <c r="L1140" s="389"/>
      <c r="M1140" s="389"/>
      <c r="N1140" s="389"/>
      <c r="O1140" s="389"/>
      <c r="P1140" s="389"/>
    </row>
    <row r="1141" spans="5:16">
      <c r="E1141" s="389"/>
      <c r="F1141" s="389"/>
      <c r="G1141" s="389"/>
      <c r="H1141" s="389"/>
      <c r="I1141" s="389"/>
      <c r="J1141" s="389"/>
      <c r="K1141" s="389"/>
      <c r="L1141" s="389"/>
      <c r="M1141" s="389"/>
      <c r="N1141" s="389"/>
      <c r="O1141" s="389"/>
      <c r="P1141" s="389"/>
    </row>
    <row r="1142" spans="5:16">
      <c r="E1142" s="389"/>
      <c r="F1142" s="389"/>
      <c r="G1142" s="389"/>
      <c r="H1142" s="389"/>
      <c r="I1142" s="389"/>
      <c r="J1142" s="389"/>
      <c r="K1142" s="389"/>
      <c r="L1142" s="389"/>
      <c r="M1142" s="389"/>
      <c r="N1142" s="389"/>
      <c r="O1142" s="389"/>
      <c r="P1142" s="389"/>
    </row>
    <row r="1143" spans="5:16">
      <c r="E1143" s="389"/>
      <c r="F1143" s="389"/>
      <c r="G1143" s="389"/>
      <c r="H1143" s="389"/>
      <c r="I1143" s="389"/>
      <c r="J1143" s="389"/>
      <c r="K1143" s="389"/>
      <c r="L1143" s="389"/>
      <c r="M1143" s="389"/>
      <c r="N1143" s="389"/>
      <c r="O1143" s="389"/>
      <c r="P1143" s="389"/>
    </row>
    <row r="1144" spans="5:16">
      <c r="E1144" s="389"/>
      <c r="F1144" s="389"/>
      <c r="G1144" s="389"/>
      <c r="H1144" s="389"/>
      <c r="I1144" s="389"/>
      <c r="J1144" s="389"/>
      <c r="K1144" s="389"/>
      <c r="L1144" s="389"/>
      <c r="M1144" s="389"/>
      <c r="N1144" s="389"/>
      <c r="O1144" s="389"/>
      <c r="P1144" s="389"/>
    </row>
    <row r="1145" spans="5:16">
      <c r="E1145" s="389"/>
      <c r="F1145" s="389"/>
      <c r="G1145" s="389"/>
      <c r="H1145" s="389"/>
      <c r="I1145" s="389"/>
      <c r="J1145" s="389"/>
      <c r="K1145" s="389"/>
      <c r="L1145" s="389"/>
      <c r="M1145" s="389"/>
      <c r="N1145" s="389"/>
      <c r="O1145" s="389"/>
      <c r="P1145" s="389"/>
    </row>
    <row r="1146" spans="5:16">
      <c r="E1146" s="389"/>
      <c r="F1146" s="389"/>
      <c r="G1146" s="389"/>
      <c r="H1146" s="389"/>
      <c r="I1146" s="389"/>
      <c r="J1146" s="389"/>
      <c r="K1146" s="389"/>
      <c r="L1146" s="389"/>
      <c r="M1146" s="389"/>
      <c r="N1146" s="389"/>
      <c r="O1146" s="389"/>
      <c r="P1146" s="389"/>
    </row>
    <row r="1147" spans="5:16">
      <c r="E1147" s="389"/>
      <c r="F1147" s="389"/>
      <c r="G1147" s="389"/>
      <c r="H1147" s="389"/>
      <c r="I1147" s="389"/>
      <c r="J1147" s="389"/>
      <c r="K1147" s="389"/>
      <c r="L1147" s="389"/>
      <c r="M1147" s="389"/>
      <c r="N1147" s="389"/>
      <c r="O1147" s="389"/>
      <c r="P1147" s="389"/>
    </row>
    <row r="1148" spans="5:16">
      <c r="E1148" s="389"/>
      <c r="F1148" s="389"/>
      <c r="G1148" s="389"/>
      <c r="H1148" s="389"/>
      <c r="I1148" s="389"/>
      <c r="J1148" s="389"/>
      <c r="K1148" s="389"/>
      <c r="L1148" s="389"/>
      <c r="M1148" s="389"/>
      <c r="N1148" s="389"/>
      <c r="O1148" s="389"/>
      <c r="P1148" s="389"/>
    </row>
    <row r="1149" spans="5:16">
      <c r="E1149" s="389"/>
      <c r="F1149" s="389"/>
      <c r="G1149" s="389"/>
      <c r="H1149" s="389"/>
      <c r="I1149" s="389"/>
      <c r="J1149" s="389"/>
      <c r="K1149" s="389"/>
      <c r="L1149" s="389"/>
      <c r="M1149" s="389"/>
      <c r="N1149" s="389"/>
      <c r="O1149" s="389"/>
      <c r="P1149" s="389"/>
    </row>
    <row r="1150" spans="5:16">
      <c r="E1150" s="389"/>
      <c r="F1150" s="389"/>
      <c r="G1150" s="389"/>
      <c r="H1150" s="389"/>
      <c r="I1150" s="389"/>
      <c r="J1150" s="389"/>
      <c r="K1150" s="389"/>
      <c r="L1150" s="389"/>
      <c r="M1150" s="389"/>
      <c r="N1150" s="389"/>
      <c r="O1150" s="389"/>
      <c r="P1150" s="389"/>
    </row>
  </sheetData>
  <mergeCells count="19">
    <mergeCell ref="A1:O1"/>
    <mergeCell ref="A2:O2"/>
    <mergeCell ref="A3:O3"/>
    <mergeCell ref="A5:A8"/>
    <mergeCell ref="B5:B8"/>
    <mergeCell ref="C5:C8"/>
    <mergeCell ref="D5:D8"/>
    <mergeCell ref="E5:O5"/>
    <mergeCell ref="E6:E8"/>
    <mergeCell ref="F6:F8"/>
    <mergeCell ref="M6:M8"/>
    <mergeCell ref="N6:N8"/>
    <mergeCell ref="O6:O8"/>
    <mergeCell ref="G6:G8"/>
    <mergeCell ref="H6:H8"/>
    <mergeCell ref="I6:I8"/>
    <mergeCell ref="J6:J8"/>
    <mergeCell ref="K6:K8"/>
    <mergeCell ref="L6:L8"/>
  </mergeCells>
  <pageMargins left="0.35433070866141703" right="0.118110236220472" top="0.56999999999999995" bottom="0.4" header="0.23622047244094499" footer="0.196850393700787"/>
  <pageSetup paperSize="9" scale="73" orientation="landscape" horizontalDpi="300" verticalDpi="300" r:id="rId1"/>
  <headerFooter alignWithMargins="0">
    <oddFooter>&amp;R&amp;P/&amp;N</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40625" style="39" customWidth="1"/>
    <col min="2" max="2" width="24" style="40" customWidth="1"/>
    <col min="3" max="3" width="7.7109375" style="43" customWidth="1"/>
    <col min="4" max="4" width="9" style="43" customWidth="1"/>
    <col min="5" max="7" width="9.140625" style="43" customWidth="1"/>
    <col min="8" max="8" width="10.140625" style="43" customWidth="1"/>
    <col min="9" max="9" width="10.7109375" style="3" customWidth="1"/>
    <col min="10" max="14" width="9.7109375" style="3" customWidth="1"/>
    <col min="15" max="15" width="8.28515625" style="3" bestFit="1" customWidth="1"/>
    <col min="16" max="16" width="10.28515625" style="3" hidden="1" customWidth="1"/>
    <col min="17" max="21" width="8.85546875" style="3" hidden="1" customWidth="1"/>
    <col min="22" max="22" width="10.140625" style="3" hidden="1" customWidth="1"/>
    <col min="23" max="23" width="10.140625" style="3" customWidth="1"/>
    <col min="24" max="28" width="8.7109375" style="3" customWidth="1"/>
    <col min="29" max="29" width="8.28515625" style="3" bestFit="1" customWidth="1"/>
    <col min="30" max="34" width="10.140625" style="3" hidden="1" customWidth="1"/>
    <col min="35" max="35" width="10.140625" style="3" customWidth="1"/>
    <col min="36" max="40" width="8.7109375" style="3" customWidth="1"/>
    <col min="41" max="41" width="8.28515625" style="3" bestFit="1" customWidth="1"/>
    <col min="42" max="42" width="10.140625" style="3" customWidth="1"/>
    <col min="43" max="44" width="8.7109375" style="3" customWidth="1"/>
    <col min="45" max="45" width="11" style="3" customWidth="1"/>
    <col min="46" max="46" width="9.85546875" style="3" customWidth="1"/>
    <col min="47" max="47" width="11" style="3" customWidth="1"/>
    <col min="48" max="49" width="8.7109375" style="3" customWidth="1"/>
    <col min="50" max="51" width="10.140625" style="3" customWidth="1"/>
    <col min="52" max="53" width="8.5703125" style="3" customWidth="1"/>
    <col min="54" max="54" width="11" style="3" customWidth="1"/>
    <col min="55" max="55" width="8.85546875" style="3" customWidth="1"/>
    <col min="56" max="56" width="11" style="3" customWidth="1"/>
    <col min="57" max="59" width="9" style="3" customWidth="1"/>
    <col min="60" max="60" width="10.140625" style="3" customWidth="1"/>
    <col min="61" max="62" width="8.5703125" style="3" customWidth="1"/>
    <col min="63" max="63" width="11" style="3" customWidth="1"/>
    <col min="64" max="64" width="8.85546875" style="3" customWidth="1"/>
    <col min="65" max="65" width="11" style="3" customWidth="1"/>
    <col min="66" max="69" width="9.140625" style="3" customWidth="1"/>
    <col min="70" max="266" width="9.140625" style="13"/>
    <col min="267" max="267" width="5.140625" style="13" customWidth="1"/>
    <col min="268" max="268" width="24" style="13" customWidth="1"/>
    <col min="269" max="269" width="7.7109375" style="13" customWidth="1"/>
    <col min="270" max="270" width="9" style="13" customWidth="1"/>
    <col min="271" max="273" width="9.140625" style="13" customWidth="1"/>
    <col min="274" max="274" width="10.140625" style="13" customWidth="1"/>
    <col min="275" max="275" width="10.7109375" style="13" customWidth="1"/>
    <col min="276" max="276" width="10" style="13" customWidth="1"/>
    <col min="277" max="277" width="9.28515625" style="13" customWidth="1"/>
    <col min="278" max="279" width="10.7109375" style="13" customWidth="1"/>
    <col min="280" max="280" width="9.28515625" style="13" customWidth="1"/>
    <col min="281" max="285" width="10.7109375" style="13" customWidth="1"/>
    <col min="286" max="286" width="10.28515625" style="13" customWidth="1"/>
    <col min="287" max="289" width="8.85546875" style="13" customWidth="1"/>
    <col min="290" max="291" width="10.140625" style="13" customWidth="1"/>
    <col min="292" max="294" width="9.5703125" style="13" customWidth="1"/>
    <col min="295" max="295" width="10.140625" style="13" customWidth="1"/>
    <col min="296" max="300" width="0" style="13" hidden="1" customWidth="1"/>
    <col min="301" max="301" width="10.140625" style="13" customWidth="1"/>
    <col min="302" max="304" width="9.5703125" style="13" customWidth="1"/>
    <col min="305" max="305" width="10.140625" style="13" customWidth="1"/>
    <col min="306" max="317" width="0" style="13" hidden="1" customWidth="1"/>
    <col min="318" max="318" width="10.140625" style="13" customWidth="1"/>
    <col min="319" max="320" width="9.85546875" style="13" customWidth="1"/>
    <col min="321" max="321" width="12.5703125" style="13" customWidth="1"/>
    <col min="322" max="322" width="9.85546875" style="13" customWidth="1"/>
    <col min="323" max="323" width="12.5703125" style="13" customWidth="1"/>
    <col min="324" max="324" width="10.140625" style="13" customWidth="1"/>
    <col min="325" max="325" width="9.28515625" style="13" customWidth="1"/>
    <col min="326" max="522" width="9.140625" style="13"/>
    <col min="523" max="523" width="5.140625" style="13" customWidth="1"/>
    <col min="524" max="524" width="24" style="13" customWidth="1"/>
    <col min="525" max="525" width="7.7109375" style="13" customWidth="1"/>
    <col min="526" max="526" width="9" style="13" customWidth="1"/>
    <col min="527" max="529" width="9.140625" style="13" customWidth="1"/>
    <col min="530" max="530" width="10.140625" style="13" customWidth="1"/>
    <col min="531" max="531" width="10.7109375" style="13" customWidth="1"/>
    <col min="532" max="532" width="10" style="13" customWidth="1"/>
    <col min="533" max="533" width="9.28515625" style="13" customWidth="1"/>
    <col min="534" max="535" width="10.7109375" style="13" customWidth="1"/>
    <col min="536" max="536" width="9.28515625" style="13" customWidth="1"/>
    <col min="537" max="541" width="10.7109375" style="13" customWidth="1"/>
    <col min="542" max="542" width="10.28515625" style="13" customWidth="1"/>
    <col min="543" max="545" width="8.85546875" style="13" customWidth="1"/>
    <col min="546" max="547" width="10.140625" style="13" customWidth="1"/>
    <col min="548" max="550" width="9.5703125" style="13" customWidth="1"/>
    <col min="551" max="551" width="10.140625" style="13" customWidth="1"/>
    <col min="552" max="556" width="0" style="13" hidden="1" customWidth="1"/>
    <col min="557" max="557" width="10.140625" style="13" customWidth="1"/>
    <col min="558" max="560" width="9.5703125" style="13" customWidth="1"/>
    <col min="561" max="561" width="10.140625" style="13" customWidth="1"/>
    <col min="562" max="573" width="0" style="13" hidden="1" customWidth="1"/>
    <col min="574" max="574" width="10.140625" style="13" customWidth="1"/>
    <col min="575" max="576" width="9.85546875" style="13" customWidth="1"/>
    <col min="577" max="577" width="12.5703125" style="13" customWidth="1"/>
    <col min="578" max="578" width="9.85546875" style="13" customWidth="1"/>
    <col min="579" max="579" width="12.5703125" style="13" customWidth="1"/>
    <col min="580" max="580" width="10.140625" style="13" customWidth="1"/>
    <col min="581" max="581" width="9.28515625" style="13" customWidth="1"/>
    <col min="582" max="778" width="9.140625" style="13"/>
    <col min="779" max="779" width="5.140625" style="13" customWidth="1"/>
    <col min="780" max="780" width="24" style="13" customWidth="1"/>
    <col min="781" max="781" width="7.7109375" style="13" customWidth="1"/>
    <col min="782" max="782" width="9" style="13" customWidth="1"/>
    <col min="783" max="785" width="9.140625" style="13" customWidth="1"/>
    <col min="786" max="786" width="10.140625" style="13" customWidth="1"/>
    <col min="787" max="787" width="10.7109375" style="13" customWidth="1"/>
    <col min="788" max="788" width="10" style="13" customWidth="1"/>
    <col min="789" max="789" width="9.28515625" style="13" customWidth="1"/>
    <col min="790" max="791" width="10.7109375" style="13" customWidth="1"/>
    <col min="792" max="792" width="9.28515625" style="13" customWidth="1"/>
    <col min="793" max="797" width="10.7109375" style="13" customWidth="1"/>
    <col min="798" max="798" width="10.28515625" style="13" customWidth="1"/>
    <col min="799" max="801" width="8.85546875" style="13" customWidth="1"/>
    <col min="802" max="803" width="10.140625" style="13" customWidth="1"/>
    <col min="804" max="806" width="9.5703125" style="13" customWidth="1"/>
    <col min="807" max="807" width="10.140625" style="13" customWidth="1"/>
    <col min="808" max="812" width="0" style="13" hidden="1" customWidth="1"/>
    <col min="813" max="813" width="10.140625" style="13" customWidth="1"/>
    <col min="814" max="816" width="9.5703125" style="13" customWidth="1"/>
    <col min="817" max="817" width="10.140625" style="13" customWidth="1"/>
    <col min="818" max="829" width="0" style="13" hidden="1" customWidth="1"/>
    <col min="830" max="830" width="10.140625" style="13" customWidth="1"/>
    <col min="831" max="832" width="9.85546875" style="13" customWidth="1"/>
    <col min="833" max="833" width="12.5703125" style="13" customWidth="1"/>
    <col min="834" max="834" width="9.85546875" style="13" customWidth="1"/>
    <col min="835" max="835" width="12.5703125" style="13" customWidth="1"/>
    <col min="836" max="836" width="10.140625" style="13" customWidth="1"/>
    <col min="837" max="837" width="9.28515625" style="13" customWidth="1"/>
    <col min="838" max="1034" width="9.140625" style="13"/>
    <col min="1035" max="1035" width="5.140625" style="13" customWidth="1"/>
    <col min="1036" max="1036" width="24" style="13" customWidth="1"/>
    <col min="1037" max="1037" width="7.7109375" style="13" customWidth="1"/>
    <col min="1038" max="1038" width="9" style="13" customWidth="1"/>
    <col min="1039" max="1041" width="9.140625" style="13" customWidth="1"/>
    <col min="1042" max="1042" width="10.140625" style="13" customWidth="1"/>
    <col min="1043" max="1043" width="10.7109375" style="13" customWidth="1"/>
    <col min="1044" max="1044" width="10" style="13" customWidth="1"/>
    <col min="1045" max="1045" width="9.28515625" style="13" customWidth="1"/>
    <col min="1046" max="1047" width="10.7109375" style="13" customWidth="1"/>
    <col min="1048" max="1048" width="9.28515625" style="13" customWidth="1"/>
    <col min="1049" max="1053" width="10.7109375" style="13" customWidth="1"/>
    <col min="1054" max="1054" width="10.28515625" style="13" customWidth="1"/>
    <col min="1055" max="1057" width="8.85546875" style="13" customWidth="1"/>
    <col min="1058" max="1059" width="10.140625" style="13" customWidth="1"/>
    <col min="1060" max="1062" width="9.5703125" style="13" customWidth="1"/>
    <col min="1063" max="1063" width="10.140625" style="13" customWidth="1"/>
    <col min="1064" max="1068" width="0" style="13" hidden="1" customWidth="1"/>
    <col min="1069" max="1069" width="10.140625" style="13" customWidth="1"/>
    <col min="1070" max="1072" width="9.5703125" style="13" customWidth="1"/>
    <col min="1073" max="1073" width="10.140625" style="13" customWidth="1"/>
    <col min="1074" max="1085" width="0" style="13" hidden="1" customWidth="1"/>
    <col min="1086" max="1086" width="10.140625" style="13" customWidth="1"/>
    <col min="1087" max="1088" width="9.85546875" style="13" customWidth="1"/>
    <col min="1089" max="1089" width="12.5703125" style="13" customWidth="1"/>
    <col min="1090" max="1090" width="9.85546875" style="13" customWidth="1"/>
    <col min="1091" max="1091" width="12.5703125" style="13" customWidth="1"/>
    <col min="1092" max="1092" width="10.140625" style="13" customWidth="1"/>
    <col min="1093" max="1093" width="9.28515625" style="13" customWidth="1"/>
    <col min="1094" max="1290" width="9.140625" style="13"/>
    <col min="1291" max="1291" width="5.140625" style="13" customWidth="1"/>
    <col min="1292" max="1292" width="24" style="13" customWidth="1"/>
    <col min="1293" max="1293" width="7.7109375" style="13" customWidth="1"/>
    <col min="1294" max="1294" width="9" style="13" customWidth="1"/>
    <col min="1295" max="1297" width="9.140625" style="13" customWidth="1"/>
    <col min="1298" max="1298" width="10.140625" style="13" customWidth="1"/>
    <col min="1299" max="1299" width="10.7109375" style="13" customWidth="1"/>
    <col min="1300" max="1300" width="10" style="13" customWidth="1"/>
    <col min="1301" max="1301" width="9.28515625" style="13" customWidth="1"/>
    <col min="1302" max="1303" width="10.7109375" style="13" customWidth="1"/>
    <col min="1304" max="1304" width="9.28515625" style="13" customWidth="1"/>
    <col min="1305" max="1309" width="10.7109375" style="13" customWidth="1"/>
    <col min="1310" max="1310" width="10.28515625" style="13" customWidth="1"/>
    <col min="1311" max="1313" width="8.85546875" style="13" customWidth="1"/>
    <col min="1314" max="1315" width="10.140625" style="13" customWidth="1"/>
    <col min="1316" max="1318" width="9.5703125" style="13" customWidth="1"/>
    <col min="1319" max="1319" width="10.140625" style="13" customWidth="1"/>
    <col min="1320" max="1324" width="0" style="13" hidden="1" customWidth="1"/>
    <col min="1325" max="1325" width="10.140625" style="13" customWidth="1"/>
    <col min="1326" max="1328" width="9.5703125" style="13" customWidth="1"/>
    <col min="1329" max="1329" width="10.140625" style="13" customWidth="1"/>
    <col min="1330" max="1341" width="0" style="13" hidden="1" customWidth="1"/>
    <col min="1342" max="1342" width="10.140625" style="13" customWidth="1"/>
    <col min="1343" max="1344" width="9.85546875" style="13" customWidth="1"/>
    <col min="1345" max="1345" width="12.5703125" style="13" customWidth="1"/>
    <col min="1346" max="1346" width="9.85546875" style="13" customWidth="1"/>
    <col min="1347" max="1347" width="12.5703125" style="13" customWidth="1"/>
    <col min="1348" max="1348" width="10.140625" style="13" customWidth="1"/>
    <col min="1349" max="1349" width="9.28515625" style="13" customWidth="1"/>
    <col min="1350" max="1546" width="9.140625" style="13"/>
    <col min="1547" max="1547" width="5.140625" style="13" customWidth="1"/>
    <col min="1548" max="1548" width="24" style="13" customWidth="1"/>
    <col min="1549" max="1549" width="7.7109375" style="13" customWidth="1"/>
    <col min="1550" max="1550" width="9" style="13" customWidth="1"/>
    <col min="1551" max="1553" width="9.140625" style="13" customWidth="1"/>
    <col min="1554" max="1554" width="10.140625" style="13" customWidth="1"/>
    <col min="1555" max="1555" width="10.7109375" style="13" customWidth="1"/>
    <col min="1556" max="1556" width="10" style="13" customWidth="1"/>
    <col min="1557" max="1557" width="9.28515625" style="13" customWidth="1"/>
    <col min="1558" max="1559" width="10.7109375" style="13" customWidth="1"/>
    <col min="1560" max="1560" width="9.28515625" style="13" customWidth="1"/>
    <col min="1561" max="1565" width="10.7109375" style="13" customWidth="1"/>
    <col min="1566" max="1566" width="10.28515625" style="13" customWidth="1"/>
    <col min="1567" max="1569" width="8.85546875" style="13" customWidth="1"/>
    <col min="1570" max="1571" width="10.140625" style="13" customWidth="1"/>
    <col min="1572" max="1574" width="9.5703125" style="13" customWidth="1"/>
    <col min="1575" max="1575" width="10.140625" style="13" customWidth="1"/>
    <col min="1576" max="1580" width="0" style="13" hidden="1" customWidth="1"/>
    <col min="1581" max="1581" width="10.140625" style="13" customWidth="1"/>
    <col min="1582" max="1584" width="9.5703125" style="13" customWidth="1"/>
    <col min="1585" max="1585" width="10.140625" style="13" customWidth="1"/>
    <col min="1586" max="1597" width="0" style="13" hidden="1" customWidth="1"/>
    <col min="1598" max="1598" width="10.140625" style="13" customWidth="1"/>
    <col min="1599" max="1600" width="9.85546875" style="13" customWidth="1"/>
    <col min="1601" max="1601" width="12.5703125" style="13" customWidth="1"/>
    <col min="1602" max="1602" width="9.85546875" style="13" customWidth="1"/>
    <col min="1603" max="1603" width="12.5703125" style="13" customWidth="1"/>
    <col min="1604" max="1604" width="10.140625" style="13" customWidth="1"/>
    <col min="1605" max="1605" width="9.28515625" style="13" customWidth="1"/>
    <col min="1606" max="1802" width="9.140625" style="13"/>
    <col min="1803" max="1803" width="5.140625" style="13" customWidth="1"/>
    <col min="1804" max="1804" width="24" style="13" customWidth="1"/>
    <col min="1805" max="1805" width="7.7109375" style="13" customWidth="1"/>
    <col min="1806" max="1806" width="9" style="13" customWidth="1"/>
    <col min="1807" max="1809" width="9.140625" style="13" customWidth="1"/>
    <col min="1810" max="1810" width="10.140625" style="13" customWidth="1"/>
    <col min="1811" max="1811" width="10.7109375" style="13" customWidth="1"/>
    <col min="1812" max="1812" width="10" style="13" customWidth="1"/>
    <col min="1813" max="1813" width="9.28515625" style="13" customWidth="1"/>
    <col min="1814" max="1815" width="10.7109375" style="13" customWidth="1"/>
    <col min="1816" max="1816" width="9.28515625" style="13" customWidth="1"/>
    <col min="1817" max="1821" width="10.7109375" style="13" customWidth="1"/>
    <col min="1822" max="1822" width="10.28515625" style="13" customWidth="1"/>
    <col min="1823" max="1825" width="8.85546875" style="13" customWidth="1"/>
    <col min="1826" max="1827" width="10.140625" style="13" customWidth="1"/>
    <col min="1828" max="1830" width="9.5703125" style="13" customWidth="1"/>
    <col min="1831" max="1831" width="10.140625" style="13" customWidth="1"/>
    <col min="1832" max="1836" width="0" style="13" hidden="1" customWidth="1"/>
    <col min="1837" max="1837" width="10.140625" style="13" customWidth="1"/>
    <col min="1838" max="1840" width="9.5703125" style="13" customWidth="1"/>
    <col min="1841" max="1841" width="10.140625" style="13" customWidth="1"/>
    <col min="1842" max="1853" width="0" style="13" hidden="1" customWidth="1"/>
    <col min="1854" max="1854" width="10.140625" style="13" customWidth="1"/>
    <col min="1855" max="1856" width="9.85546875" style="13" customWidth="1"/>
    <col min="1857" max="1857" width="12.5703125" style="13" customWidth="1"/>
    <col min="1858" max="1858" width="9.85546875" style="13" customWidth="1"/>
    <col min="1859" max="1859" width="12.5703125" style="13" customWidth="1"/>
    <col min="1860" max="1860" width="10.140625" style="13" customWidth="1"/>
    <col min="1861" max="1861" width="9.28515625" style="13" customWidth="1"/>
    <col min="1862" max="2058" width="9.140625" style="13"/>
    <col min="2059" max="2059" width="5.140625" style="13" customWidth="1"/>
    <col min="2060" max="2060" width="24" style="13" customWidth="1"/>
    <col min="2061" max="2061" width="7.7109375" style="13" customWidth="1"/>
    <col min="2062" max="2062" width="9" style="13" customWidth="1"/>
    <col min="2063" max="2065" width="9.140625" style="13" customWidth="1"/>
    <col min="2066" max="2066" width="10.140625" style="13" customWidth="1"/>
    <col min="2067" max="2067" width="10.7109375" style="13" customWidth="1"/>
    <col min="2068" max="2068" width="10" style="13" customWidth="1"/>
    <col min="2069" max="2069" width="9.28515625" style="13" customWidth="1"/>
    <col min="2070" max="2071" width="10.7109375" style="13" customWidth="1"/>
    <col min="2072" max="2072" width="9.28515625" style="13" customWidth="1"/>
    <col min="2073" max="2077" width="10.7109375" style="13" customWidth="1"/>
    <col min="2078" max="2078" width="10.28515625" style="13" customWidth="1"/>
    <col min="2079" max="2081" width="8.85546875" style="13" customWidth="1"/>
    <col min="2082" max="2083" width="10.140625" style="13" customWidth="1"/>
    <col min="2084" max="2086" width="9.5703125" style="13" customWidth="1"/>
    <col min="2087" max="2087" width="10.140625" style="13" customWidth="1"/>
    <col min="2088" max="2092" width="0" style="13" hidden="1" customWidth="1"/>
    <col min="2093" max="2093" width="10.140625" style="13" customWidth="1"/>
    <col min="2094" max="2096" width="9.5703125" style="13" customWidth="1"/>
    <col min="2097" max="2097" width="10.140625" style="13" customWidth="1"/>
    <col min="2098" max="2109" width="0" style="13" hidden="1" customWidth="1"/>
    <col min="2110" max="2110" width="10.140625" style="13" customWidth="1"/>
    <col min="2111" max="2112" width="9.85546875" style="13" customWidth="1"/>
    <col min="2113" max="2113" width="12.5703125" style="13" customWidth="1"/>
    <col min="2114" max="2114" width="9.85546875" style="13" customWidth="1"/>
    <col min="2115" max="2115" width="12.5703125" style="13" customWidth="1"/>
    <col min="2116" max="2116" width="10.140625" style="13" customWidth="1"/>
    <col min="2117" max="2117" width="9.28515625" style="13" customWidth="1"/>
    <col min="2118" max="2314" width="9.140625" style="13"/>
    <col min="2315" max="2315" width="5.140625" style="13" customWidth="1"/>
    <col min="2316" max="2316" width="24" style="13" customWidth="1"/>
    <col min="2317" max="2317" width="7.7109375" style="13" customWidth="1"/>
    <col min="2318" max="2318" width="9" style="13" customWidth="1"/>
    <col min="2319" max="2321" width="9.140625" style="13" customWidth="1"/>
    <col min="2322" max="2322" width="10.140625" style="13" customWidth="1"/>
    <col min="2323" max="2323" width="10.7109375" style="13" customWidth="1"/>
    <col min="2324" max="2324" width="10" style="13" customWidth="1"/>
    <col min="2325" max="2325" width="9.28515625" style="13" customWidth="1"/>
    <col min="2326" max="2327" width="10.7109375" style="13" customWidth="1"/>
    <col min="2328" max="2328" width="9.28515625" style="13" customWidth="1"/>
    <col min="2329" max="2333" width="10.7109375" style="13" customWidth="1"/>
    <col min="2334" max="2334" width="10.28515625" style="13" customWidth="1"/>
    <col min="2335" max="2337" width="8.85546875" style="13" customWidth="1"/>
    <col min="2338" max="2339" width="10.140625" style="13" customWidth="1"/>
    <col min="2340" max="2342" width="9.5703125" style="13" customWidth="1"/>
    <col min="2343" max="2343" width="10.140625" style="13" customWidth="1"/>
    <col min="2344" max="2348" width="0" style="13" hidden="1" customWidth="1"/>
    <col min="2349" max="2349" width="10.140625" style="13" customWidth="1"/>
    <col min="2350" max="2352" width="9.5703125" style="13" customWidth="1"/>
    <col min="2353" max="2353" width="10.140625" style="13" customWidth="1"/>
    <col min="2354" max="2365" width="0" style="13" hidden="1" customWidth="1"/>
    <col min="2366" max="2366" width="10.140625" style="13" customWidth="1"/>
    <col min="2367" max="2368" width="9.85546875" style="13" customWidth="1"/>
    <col min="2369" max="2369" width="12.5703125" style="13" customWidth="1"/>
    <col min="2370" max="2370" width="9.85546875" style="13" customWidth="1"/>
    <col min="2371" max="2371" width="12.5703125" style="13" customWidth="1"/>
    <col min="2372" max="2372" width="10.140625" style="13" customWidth="1"/>
    <col min="2373" max="2373" width="9.28515625" style="13" customWidth="1"/>
    <col min="2374" max="2570" width="9.140625" style="13"/>
    <col min="2571" max="2571" width="5.140625" style="13" customWidth="1"/>
    <col min="2572" max="2572" width="24" style="13" customWidth="1"/>
    <col min="2573" max="2573" width="7.7109375" style="13" customWidth="1"/>
    <col min="2574" max="2574" width="9" style="13" customWidth="1"/>
    <col min="2575" max="2577" width="9.140625" style="13" customWidth="1"/>
    <col min="2578" max="2578" width="10.140625" style="13" customWidth="1"/>
    <col min="2579" max="2579" width="10.7109375" style="13" customWidth="1"/>
    <col min="2580" max="2580" width="10" style="13" customWidth="1"/>
    <col min="2581" max="2581" width="9.28515625" style="13" customWidth="1"/>
    <col min="2582" max="2583" width="10.7109375" style="13" customWidth="1"/>
    <col min="2584" max="2584" width="9.28515625" style="13" customWidth="1"/>
    <col min="2585" max="2589" width="10.7109375" style="13" customWidth="1"/>
    <col min="2590" max="2590" width="10.28515625" style="13" customWidth="1"/>
    <col min="2591" max="2593" width="8.85546875" style="13" customWidth="1"/>
    <col min="2594" max="2595" width="10.140625" style="13" customWidth="1"/>
    <col min="2596" max="2598" width="9.5703125" style="13" customWidth="1"/>
    <col min="2599" max="2599" width="10.140625" style="13" customWidth="1"/>
    <col min="2600" max="2604" width="0" style="13" hidden="1" customWidth="1"/>
    <col min="2605" max="2605" width="10.140625" style="13" customWidth="1"/>
    <col min="2606" max="2608" width="9.5703125" style="13" customWidth="1"/>
    <col min="2609" max="2609" width="10.140625" style="13" customWidth="1"/>
    <col min="2610" max="2621" width="0" style="13" hidden="1" customWidth="1"/>
    <col min="2622" max="2622" width="10.140625" style="13" customWidth="1"/>
    <col min="2623" max="2624" width="9.85546875" style="13" customWidth="1"/>
    <col min="2625" max="2625" width="12.5703125" style="13" customWidth="1"/>
    <col min="2626" max="2626" width="9.85546875" style="13" customWidth="1"/>
    <col min="2627" max="2627" width="12.5703125" style="13" customWidth="1"/>
    <col min="2628" max="2628" width="10.140625" style="13" customWidth="1"/>
    <col min="2629" max="2629" width="9.28515625" style="13" customWidth="1"/>
    <col min="2630" max="2826" width="9.140625" style="13"/>
    <col min="2827" max="2827" width="5.140625" style="13" customWidth="1"/>
    <col min="2828" max="2828" width="24" style="13" customWidth="1"/>
    <col min="2829" max="2829" width="7.7109375" style="13" customWidth="1"/>
    <col min="2830" max="2830" width="9" style="13" customWidth="1"/>
    <col min="2831" max="2833" width="9.140625" style="13" customWidth="1"/>
    <col min="2834" max="2834" width="10.140625" style="13" customWidth="1"/>
    <col min="2835" max="2835" width="10.7109375" style="13" customWidth="1"/>
    <col min="2836" max="2836" width="10" style="13" customWidth="1"/>
    <col min="2837" max="2837" width="9.28515625" style="13" customWidth="1"/>
    <col min="2838" max="2839" width="10.7109375" style="13" customWidth="1"/>
    <col min="2840" max="2840" width="9.28515625" style="13" customWidth="1"/>
    <col min="2841" max="2845" width="10.7109375" style="13" customWidth="1"/>
    <col min="2846" max="2846" width="10.28515625" style="13" customWidth="1"/>
    <col min="2847" max="2849" width="8.85546875" style="13" customWidth="1"/>
    <col min="2850" max="2851" width="10.140625" style="13" customWidth="1"/>
    <col min="2852" max="2854" width="9.5703125" style="13" customWidth="1"/>
    <col min="2855" max="2855" width="10.140625" style="13" customWidth="1"/>
    <col min="2856" max="2860" width="0" style="13" hidden="1" customWidth="1"/>
    <col min="2861" max="2861" width="10.140625" style="13" customWidth="1"/>
    <col min="2862" max="2864" width="9.5703125" style="13" customWidth="1"/>
    <col min="2865" max="2865" width="10.140625" style="13" customWidth="1"/>
    <col min="2866" max="2877" width="0" style="13" hidden="1" customWidth="1"/>
    <col min="2878" max="2878" width="10.140625" style="13" customWidth="1"/>
    <col min="2879" max="2880" width="9.85546875" style="13" customWidth="1"/>
    <col min="2881" max="2881" width="12.5703125" style="13" customWidth="1"/>
    <col min="2882" max="2882" width="9.85546875" style="13" customWidth="1"/>
    <col min="2883" max="2883" width="12.5703125" style="13" customWidth="1"/>
    <col min="2884" max="2884" width="10.140625" style="13" customWidth="1"/>
    <col min="2885" max="2885" width="9.28515625" style="13" customWidth="1"/>
    <col min="2886" max="3082" width="9.140625" style="13"/>
    <col min="3083" max="3083" width="5.140625" style="13" customWidth="1"/>
    <col min="3084" max="3084" width="24" style="13" customWidth="1"/>
    <col min="3085" max="3085" width="7.7109375" style="13" customWidth="1"/>
    <col min="3086" max="3086" width="9" style="13" customWidth="1"/>
    <col min="3087" max="3089" width="9.140625" style="13" customWidth="1"/>
    <col min="3090" max="3090" width="10.140625" style="13" customWidth="1"/>
    <col min="3091" max="3091" width="10.7109375" style="13" customWidth="1"/>
    <col min="3092" max="3092" width="10" style="13" customWidth="1"/>
    <col min="3093" max="3093" width="9.28515625" style="13" customWidth="1"/>
    <col min="3094" max="3095" width="10.7109375" style="13" customWidth="1"/>
    <col min="3096" max="3096" width="9.28515625" style="13" customWidth="1"/>
    <col min="3097" max="3101" width="10.7109375" style="13" customWidth="1"/>
    <col min="3102" max="3102" width="10.28515625" style="13" customWidth="1"/>
    <col min="3103" max="3105" width="8.85546875" style="13" customWidth="1"/>
    <col min="3106" max="3107" width="10.140625" style="13" customWidth="1"/>
    <col min="3108" max="3110" width="9.5703125" style="13" customWidth="1"/>
    <col min="3111" max="3111" width="10.140625" style="13" customWidth="1"/>
    <col min="3112" max="3116" width="0" style="13" hidden="1" customWidth="1"/>
    <col min="3117" max="3117" width="10.140625" style="13" customWidth="1"/>
    <col min="3118" max="3120" width="9.5703125" style="13" customWidth="1"/>
    <col min="3121" max="3121" width="10.140625" style="13" customWidth="1"/>
    <col min="3122" max="3133" width="0" style="13" hidden="1" customWidth="1"/>
    <col min="3134" max="3134" width="10.140625" style="13" customWidth="1"/>
    <col min="3135" max="3136" width="9.85546875" style="13" customWidth="1"/>
    <col min="3137" max="3137" width="12.5703125" style="13" customWidth="1"/>
    <col min="3138" max="3138" width="9.85546875" style="13" customWidth="1"/>
    <col min="3139" max="3139" width="12.5703125" style="13" customWidth="1"/>
    <col min="3140" max="3140" width="10.140625" style="13" customWidth="1"/>
    <col min="3141" max="3141" width="9.28515625" style="13" customWidth="1"/>
    <col min="3142" max="3338" width="9.140625" style="13"/>
    <col min="3339" max="3339" width="5.140625" style="13" customWidth="1"/>
    <col min="3340" max="3340" width="24" style="13" customWidth="1"/>
    <col min="3341" max="3341" width="7.7109375" style="13" customWidth="1"/>
    <col min="3342" max="3342" width="9" style="13" customWidth="1"/>
    <col min="3343" max="3345" width="9.140625" style="13" customWidth="1"/>
    <col min="3346" max="3346" width="10.140625" style="13" customWidth="1"/>
    <col min="3347" max="3347" width="10.7109375" style="13" customWidth="1"/>
    <col min="3348" max="3348" width="10" style="13" customWidth="1"/>
    <col min="3349" max="3349" width="9.28515625" style="13" customWidth="1"/>
    <col min="3350" max="3351" width="10.7109375" style="13" customWidth="1"/>
    <col min="3352" max="3352" width="9.28515625" style="13" customWidth="1"/>
    <col min="3353" max="3357" width="10.7109375" style="13" customWidth="1"/>
    <col min="3358" max="3358" width="10.28515625" style="13" customWidth="1"/>
    <col min="3359" max="3361" width="8.85546875" style="13" customWidth="1"/>
    <col min="3362" max="3363" width="10.140625" style="13" customWidth="1"/>
    <col min="3364" max="3366" width="9.5703125" style="13" customWidth="1"/>
    <col min="3367" max="3367" width="10.140625" style="13" customWidth="1"/>
    <col min="3368" max="3372" width="0" style="13" hidden="1" customWidth="1"/>
    <col min="3373" max="3373" width="10.140625" style="13" customWidth="1"/>
    <col min="3374" max="3376" width="9.5703125" style="13" customWidth="1"/>
    <col min="3377" max="3377" width="10.140625" style="13" customWidth="1"/>
    <col min="3378" max="3389" width="0" style="13" hidden="1" customWidth="1"/>
    <col min="3390" max="3390" width="10.140625" style="13" customWidth="1"/>
    <col min="3391" max="3392" width="9.85546875" style="13" customWidth="1"/>
    <col min="3393" max="3393" width="12.5703125" style="13" customWidth="1"/>
    <col min="3394" max="3394" width="9.85546875" style="13" customWidth="1"/>
    <col min="3395" max="3395" width="12.5703125" style="13" customWidth="1"/>
    <col min="3396" max="3396" width="10.140625" style="13" customWidth="1"/>
    <col min="3397" max="3397" width="9.28515625" style="13" customWidth="1"/>
    <col min="3398" max="3594" width="9.140625" style="13"/>
    <col min="3595" max="3595" width="5.140625" style="13" customWidth="1"/>
    <col min="3596" max="3596" width="24" style="13" customWidth="1"/>
    <col min="3597" max="3597" width="7.7109375" style="13" customWidth="1"/>
    <col min="3598" max="3598" width="9" style="13" customWidth="1"/>
    <col min="3599" max="3601" width="9.140625" style="13" customWidth="1"/>
    <col min="3602" max="3602" width="10.140625" style="13" customWidth="1"/>
    <col min="3603" max="3603" width="10.7109375" style="13" customWidth="1"/>
    <col min="3604" max="3604" width="10" style="13" customWidth="1"/>
    <col min="3605" max="3605" width="9.28515625" style="13" customWidth="1"/>
    <col min="3606" max="3607" width="10.7109375" style="13" customWidth="1"/>
    <col min="3608" max="3608" width="9.28515625" style="13" customWidth="1"/>
    <col min="3609" max="3613" width="10.7109375" style="13" customWidth="1"/>
    <col min="3614" max="3614" width="10.28515625" style="13" customWidth="1"/>
    <col min="3615" max="3617" width="8.85546875" style="13" customWidth="1"/>
    <col min="3618" max="3619" width="10.140625" style="13" customWidth="1"/>
    <col min="3620" max="3622" width="9.5703125" style="13" customWidth="1"/>
    <col min="3623" max="3623" width="10.140625" style="13" customWidth="1"/>
    <col min="3624" max="3628" width="0" style="13" hidden="1" customWidth="1"/>
    <col min="3629" max="3629" width="10.140625" style="13" customWidth="1"/>
    <col min="3630" max="3632" width="9.5703125" style="13" customWidth="1"/>
    <col min="3633" max="3633" width="10.140625" style="13" customWidth="1"/>
    <col min="3634" max="3645" width="0" style="13" hidden="1" customWidth="1"/>
    <col min="3646" max="3646" width="10.140625" style="13" customWidth="1"/>
    <col min="3647" max="3648" width="9.85546875" style="13" customWidth="1"/>
    <col min="3649" max="3649" width="12.5703125" style="13" customWidth="1"/>
    <col min="3650" max="3650" width="9.85546875" style="13" customWidth="1"/>
    <col min="3651" max="3651" width="12.5703125" style="13" customWidth="1"/>
    <col min="3652" max="3652" width="10.140625" style="13" customWidth="1"/>
    <col min="3653" max="3653" width="9.28515625" style="13" customWidth="1"/>
    <col min="3654" max="3850" width="9.140625" style="13"/>
    <col min="3851" max="3851" width="5.140625" style="13" customWidth="1"/>
    <col min="3852" max="3852" width="24" style="13" customWidth="1"/>
    <col min="3853" max="3853" width="7.7109375" style="13" customWidth="1"/>
    <col min="3854" max="3854" width="9" style="13" customWidth="1"/>
    <col min="3855" max="3857" width="9.140625" style="13" customWidth="1"/>
    <col min="3858" max="3858" width="10.140625" style="13" customWidth="1"/>
    <col min="3859" max="3859" width="10.7109375" style="13" customWidth="1"/>
    <col min="3860" max="3860" width="10" style="13" customWidth="1"/>
    <col min="3861" max="3861" width="9.28515625" style="13" customWidth="1"/>
    <col min="3862" max="3863" width="10.7109375" style="13" customWidth="1"/>
    <col min="3864" max="3864" width="9.28515625" style="13" customWidth="1"/>
    <col min="3865" max="3869" width="10.7109375" style="13" customWidth="1"/>
    <col min="3870" max="3870" width="10.28515625" style="13" customWidth="1"/>
    <col min="3871" max="3873" width="8.85546875" style="13" customWidth="1"/>
    <col min="3874" max="3875" width="10.140625" style="13" customWidth="1"/>
    <col min="3876" max="3878" width="9.5703125" style="13" customWidth="1"/>
    <col min="3879" max="3879" width="10.140625" style="13" customWidth="1"/>
    <col min="3880" max="3884" width="0" style="13" hidden="1" customWidth="1"/>
    <col min="3885" max="3885" width="10.140625" style="13" customWidth="1"/>
    <col min="3886" max="3888" width="9.5703125" style="13" customWidth="1"/>
    <col min="3889" max="3889" width="10.140625" style="13" customWidth="1"/>
    <col min="3890" max="3901" width="0" style="13" hidden="1" customWidth="1"/>
    <col min="3902" max="3902" width="10.140625" style="13" customWidth="1"/>
    <col min="3903" max="3904" width="9.85546875" style="13" customWidth="1"/>
    <col min="3905" max="3905" width="12.5703125" style="13" customWidth="1"/>
    <col min="3906" max="3906" width="9.85546875" style="13" customWidth="1"/>
    <col min="3907" max="3907" width="12.5703125" style="13" customWidth="1"/>
    <col min="3908" max="3908" width="10.140625" style="13" customWidth="1"/>
    <col min="3909" max="3909" width="9.28515625" style="13" customWidth="1"/>
    <col min="3910" max="4106" width="9.140625" style="13"/>
    <col min="4107" max="4107" width="5.140625" style="13" customWidth="1"/>
    <col min="4108" max="4108" width="24" style="13" customWidth="1"/>
    <col min="4109" max="4109" width="7.7109375" style="13" customWidth="1"/>
    <col min="4110" max="4110" width="9" style="13" customWidth="1"/>
    <col min="4111" max="4113" width="9.140625" style="13" customWidth="1"/>
    <col min="4114" max="4114" width="10.140625" style="13" customWidth="1"/>
    <col min="4115" max="4115" width="10.7109375" style="13" customWidth="1"/>
    <col min="4116" max="4116" width="10" style="13" customWidth="1"/>
    <col min="4117" max="4117" width="9.28515625" style="13" customWidth="1"/>
    <col min="4118" max="4119" width="10.7109375" style="13" customWidth="1"/>
    <col min="4120" max="4120" width="9.28515625" style="13" customWidth="1"/>
    <col min="4121" max="4125" width="10.7109375" style="13" customWidth="1"/>
    <col min="4126" max="4126" width="10.28515625" style="13" customWidth="1"/>
    <col min="4127" max="4129" width="8.85546875" style="13" customWidth="1"/>
    <col min="4130" max="4131" width="10.140625" style="13" customWidth="1"/>
    <col min="4132" max="4134" width="9.5703125" style="13" customWidth="1"/>
    <col min="4135" max="4135" width="10.140625" style="13" customWidth="1"/>
    <col min="4136" max="4140" width="0" style="13" hidden="1" customWidth="1"/>
    <col min="4141" max="4141" width="10.140625" style="13" customWidth="1"/>
    <col min="4142" max="4144" width="9.5703125" style="13" customWidth="1"/>
    <col min="4145" max="4145" width="10.140625" style="13" customWidth="1"/>
    <col min="4146" max="4157" width="0" style="13" hidden="1" customWidth="1"/>
    <col min="4158" max="4158" width="10.140625" style="13" customWidth="1"/>
    <col min="4159" max="4160" width="9.85546875" style="13" customWidth="1"/>
    <col min="4161" max="4161" width="12.5703125" style="13" customWidth="1"/>
    <col min="4162" max="4162" width="9.85546875" style="13" customWidth="1"/>
    <col min="4163" max="4163" width="12.5703125" style="13" customWidth="1"/>
    <col min="4164" max="4164" width="10.140625" style="13" customWidth="1"/>
    <col min="4165" max="4165" width="9.28515625" style="13" customWidth="1"/>
    <col min="4166" max="4362" width="9.140625" style="13"/>
    <col min="4363" max="4363" width="5.140625" style="13" customWidth="1"/>
    <col min="4364" max="4364" width="24" style="13" customWidth="1"/>
    <col min="4365" max="4365" width="7.7109375" style="13" customWidth="1"/>
    <col min="4366" max="4366" width="9" style="13" customWidth="1"/>
    <col min="4367" max="4369" width="9.140625" style="13" customWidth="1"/>
    <col min="4370" max="4370" width="10.140625" style="13" customWidth="1"/>
    <col min="4371" max="4371" width="10.7109375" style="13" customWidth="1"/>
    <col min="4372" max="4372" width="10" style="13" customWidth="1"/>
    <col min="4373" max="4373" width="9.28515625" style="13" customWidth="1"/>
    <col min="4374" max="4375" width="10.7109375" style="13" customWidth="1"/>
    <col min="4376" max="4376" width="9.28515625" style="13" customWidth="1"/>
    <col min="4377" max="4381" width="10.7109375" style="13" customWidth="1"/>
    <col min="4382" max="4382" width="10.28515625" style="13" customWidth="1"/>
    <col min="4383" max="4385" width="8.85546875" style="13" customWidth="1"/>
    <col min="4386" max="4387" width="10.140625" style="13" customWidth="1"/>
    <col min="4388" max="4390" width="9.5703125" style="13" customWidth="1"/>
    <col min="4391" max="4391" width="10.140625" style="13" customWidth="1"/>
    <col min="4392" max="4396" width="0" style="13" hidden="1" customWidth="1"/>
    <col min="4397" max="4397" width="10.140625" style="13" customWidth="1"/>
    <col min="4398" max="4400" width="9.5703125" style="13" customWidth="1"/>
    <col min="4401" max="4401" width="10.140625" style="13" customWidth="1"/>
    <col min="4402" max="4413" width="0" style="13" hidden="1" customWidth="1"/>
    <col min="4414" max="4414" width="10.140625" style="13" customWidth="1"/>
    <col min="4415" max="4416" width="9.85546875" style="13" customWidth="1"/>
    <col min="4417" max="4417" width="12.5703125" style="13" customWidth="1"/>
    <col min="4418" max="4418" width="9.85546875" style="13" customWidth="1"/>
    <col min="4419" max="4419" width="12.5703125" style="13" customWidth="1"/>
    <col min="4420" max="4420" width="10.140625" style="13" customWidth="1"/>
    <col min="4421" max="4421" width="9.28515625" style="13" customWidth="1"/>
    <col min="4422" max="4618" width="9.140625" style="13"/>
    <col min="4619" max="4619" width="5.140625" style="13" customWidth="1"/>
    <col min="4620" max="4620" width="24" style="13" customWidth="1"/>
    <col min="4621" max="4621" width="7.7109375" style="13" customWidth="1"/>
    <col min="4622" max="4622" width="9" style="13" customWidth="1"/>
    <col min="4623" max="4625" width="9.140625" style="13" customWidth="1"/>
    <col min="4626" max="4626" width="10.140625" style="13" customWidth="1"/>
    <col min="4627" max="4627" width="10.7109375" style="13" customWidth="1"/>
    <col min="4628" max="4628" width="10" style="13" customWidth="1"/>
    <col min="4629" max="4629" width="9.28515625" style="13" customWidth="1"/>
    <col min="4630" max="4631" width="10.7109375" style="13" customWidth="1"/>
    <col min="4632" max="4632" width="9.28515625" style="13" customWidth="1"/>
    <col min="4633" max="4637" width="10.7109375" style="13" customWidth="1"/>
    <col min="4638" max="4638" width="10.28515625" style="13" customWidth="1"/>
    <col min="4639" max="4641" width="8.85546875" style="13" customWidth="1"/>
    <col min="4642" max="4643" width="10.140625" style="13" customWidth="1"/>
    <col min="4644" max="4646" width="9.5703125" style="13" customWidth="1"/>
    <col min="4647" max="4647" width="10.140625" style="13" customWidth="1"/>
    <col min="4648" max="4652" width="0" style="13" hidden="1" customWidth="1"/>
    <col min="4653" max="4653" width="10.140625" style="13" customWidth="1"/>
    <col min="4654" max="4656" width="9.5703125" style="13" customWidth="1"/>
    <col min="4657" max="4657" width="10.140625" style="13" customWidth="1"/>
    <col min="4658" max="4669" width="0" style="13" hidden="1" customWidth="1"/>
    <col min="4670" max="4670" width="10.140625" style="13" customWidth="1"/>
    <col min="4671" max="4672" width="9.85546875" style="13" customWidth="1"/>
    <col min="4673" max="4673" width="12.5703125" style="13" customWidth="1"/>
    <col min="4674" max="4674" width="9.85546875" style="13" customWidth="1"/>
    <col min="4675" max="4675" width="12.5703125" style="13" customWidth="1"/>
    <col min="4676" max="4676" width="10.140625" style="13" customWidth="1"/>
    <col min="4677" max="4677" width="9.28515625" style="13" customWidth="1"/>
    <col min="4678" max="4874" width="9.140625" style="13"/>
    <col min="4875" max="4875" width="5.140625" style="13" customWidth="1"/>
    <col min="4876" max="4876" width="24" style="13" customWidth="1"/>
    <col min="4877" max="4877" width="7.7109375" style="13" customWidth="1"/>
    <col min="4878" max="4878" width="9" style="13" customWidth="1"/>
    <col min="4879" max="4881" width="9.140625" style="13" customWidth="1"/>
    <col min="4882" max="4882" width="10.140625" style="13" customWidth="1"/>
    <col min="4883" max="4883" width="10.7109375" style="13" customWidth="1"/>
    <col min="4884" max="4884" width="10" style="13" customWidth="1"/>
    <col min="4885" max="4885" width="9.28515625" style="13" customWidth="1"/>
    <col min="4886" max="4887" width="10.7109375" style="13" customWidth="1"/>
    <col min="4888" max="4888" width="9.28515625" style="13" customWidth="1"/>
    <col min="4889" max="4893" width="10.7109375" style="13" customWidth="1"/>
    <col min="4894" max="4894" width="10.28515625" style="13" customWidth="1"/>
    <col min="4895" max="4897" width="8.85546875" style="13" customWidth="1"/>
    <col min="4898" max="4899" width="10.140625" style="13" customWidth="1"/>
    <col min="4900" max="4902" width="9.5703125" style="13" customWidth="1"/>
    <col min="4903" max="4903" width="10.140625" style="13" customWidth="1"/>
    <col min="4904" max="4908" width="0" style="13" hidden="1" customWidth="1"/>
    <col min="4909" max="4909" width="10.140625" style="13" customWidth="1"/>
    <col min="4910" max="4912" width="9.5703125" style="13" customWidth="1"/>
    <col min="4913" max="4913" width="10.140625" style="13" customWidth="1"/>
    <col min="4914" max="4925" width="0" style="13" hidden="1" customWidth="1"/>
    <col min="4926" max="4926" width="10.140625" style="13" customWidth="1"/>
    <col min="4927" max="4928" width="9.85546875" style="13" customWidth="1"/>
    <col min="4929" max="4929" width="12.5703125" style="13" customWidth="1"/>
    <col min="4930" max="4930" width="9.85546875" style="13" customWidth="1"/>
    <col min="4931" max="4931" width="12.5703125" style="13" customWidth="1"/>
    <col min="4932" max="4932" width="10.140625" style="13" customWidth="1"/>
    <col min="4933" max="4933" width="9.28515625" style="13" customWidth="1"/>
    <col min="4934" max="5130" width="9.140625" style="13"/>
    <col min="5131" max="5131" width="5.140625" style="13" customWidth="1"/>
    <col min="5132" max="5132" width="24" style="13" customWidth="1"/>
    <col min="5133" max="5133" width="7.7109375" style="13" customWidth="1"/>
    <col min="5134" max="5134" width="9" style="13" customWidth="1"/>
    <col min="5135" max="5137" width="9.140625" style="13" customWidth="1"/>
    <col min="5138" max="5138" width="10.140625" style="13" customWidth="1"/>
    <col min="5139" max="5139" width="10.7109375" style="13" customWidth="1"/>
    <col min="5140" max="5140" width="10" style="13" customWidth="1"/>
    <col min="5141" max="5141" width="9.28515625" style="13" customWidth="1"/>
    <col min="5142" max="5143" width="10.7109375" style="13" customWidth="1"/>
    <col min="5144" max="5144" width="9.28515625" style="13" customWidth="1"/>
    <col min="5145" max="5149" width="10.7109375" style="13" customWidth="1"/>
    <col min="5150" max="5150" width="10.28515625" style="13" customWidth="1"/>
    <col min="5151" max="5153" width="8.85546875" style="13" customWidth="1"/>
    <col min="5154" max="5155" width="10.140625" style="13" customWidth="1"/>
    <col min="5156" max="5158" width="9.5703125" style="13" customWidth="1"/>
    <col min="5159" max="5159" width="10.140625" style="13" customWidth="1"/>
    <col min="5160" max="5164" width="0" style="13" hidden="1" customWidth="1"/>
    <col min="5165" max="5165" width="10.140625" style="13" customWidth="1"/>
    <col min="5166" max="5168" width="9.5703125" style="13" customWidth="1"/>
    <col min="5169" max="5169" width="10.140625" style="13" customWidth="1"/>
    <col min="5170" max="5181" width="0" style="13" hidden="1" customWidth="1"/>
    <col min="5182" max="5182" width="10.140625" style="13" customWidth="1"/>
    <col min="5183" max="5184" width="9.85546875" style="13" customWidth="1"/>
    <col min="5185" max="5185" width="12.5703125" style="13" customWidth="1"/>
    <col min="5186" max="5186" width="9.85546875" style="13" customWidth="1"/>
    <col min="5187" max="5187" width="12.5703125" style="13" customWidth="1"/>
    <col min="5188" max="5188" width="10.140625" style="13" customWidth="1"/>
    <col min="5189" max="5189" width="9.28515625" style="13" customWidth="1"/>
    <col min="5190" max="5386" width="9.140625" style="13"/>
    <col min="5387" max="5387" width="5.140625" style="13" customWidth="1"/>
    <col min="5388" max="5388" width="24" style="13" customWidth="1"/>
    <col min="5389" max="5389" width="7.7109375" style="13" customWidth="1"/>
    <col min="5390" max="5390" width="9" style="13" customWidth="1"/>
    <col min="5391" max="5393" width="9.140625" style="13" customWidth="1"/>
    <col min="5394" max="5394" width="10.140625" style="13" customWidth="1"/>
    <col min="5395" max="5395" width="10.7109375" style="13" customWidth="1"/>
    <col min="5396" max="5396" width="10" style="13" customWidth="1"/>
    <col min="5397" max="5397" width="9.28515625" style="13" customWidth="1"/>
    <col min="5398" max="5399" width="10.7109375" style="13" customWidth="1"/>
    <col min="5400" max="5400" width="9.28515625" style="13" customWidth="1"/>
    <col min="5401" max="5405" width="10.7109375" style="13" customWidth="1"/>
    <col min="5406" max="5406" width="10.28515625" style="13" customWidth="1"/>
    <col min="5407" max="5409" width="8.85546875" style="13" customWidth="1"/>
    <col min="5410" max="5411" width="10.140625" style="13" customWidth="1"/>
    <col min="5412" max="5414" width="9.5703125" style="13" customWidth="1"/>
    <col min="5415" max="5415" width="10.140625" style="13" customWidth="1"/>
    <col min="5416" max="5420" width="0" style="13" hidden="1" customWidth="1"/>
    <col min="5421" max="5421" width="10.140625" style="13" customWidth="1"/>
    <col min="5422" max="5424" width="9.5703125" style="13" customWidth="1"/>
    <col min="5425" max="5425" width="10.140625" style="13" customWidth="1"/>
    <col min="5426" max="5437" width="0" style="13" hidden="1" customWidth="1"/>
    <col min="5438" max="5438" width="10.140625" style="13" customWidth="1"/>
    <col min="5439" max="5440" width="9.85546875" style="13" customWidth="1"/>
    <col min="5441" max="5441" width="12.5703125" style="13" customWidth="1"/>
    <col min="5442" max="5442" width="9.85546875" style="13" customWidth="1"/>
    <col min="5443" max="5443" width="12.5703125" style="13" customWidth="1"/>
    <col min="5444" max="5444" width="10.140625" style="13" customWidth="1"/>
    <col min="5445" max="5445" width="9.28515625" style="13" customWidth="1"/>
    <col min="5446" max="5642" width="9.140625" style="13"/>
    <col min="5643" max="5643" width="5.140625" style="13" customWidth="1"/>
    <col min="5644" max="5644" width="24" style="13" customWidth="1"/>
    <col min="5645" max="5645" width="7.7109375" style="13" customWidth="1"/>
    <col min="5646" max="5646" width="9" style="13" customWidth="1"/>
    <col min="5647" max="5649" width="9.140625" style="13" customWidth="1"/>
    <col min="5650" max="5650" width="10.140625" style="13" customWidth="1"/>
    <col min="5651" max="5651" width="10.7109375" style="13" customWidth="1"/>
    <col min="5652" max="5652" width="10" style="13" customWidth="1"/>
    <col min="5653" max="5653" width="9.28515625" style="13" customWidth="1"/>
    <col min="5654" max="5655" width="10.7109375" style="13" customWidth="1"/>
    <col min="5656" max="5656" width="9.28515625" style="13" customWidth="1"/>
    <col min="5657" max="5661" width="10.7109375" style="13" customWidth="1"/>
    <col min="5662" max="5662" width="10.28515625" style="13" customWidth="1"/>
    <col min="5663" max="5665" width="8.85546875" style="13" customWidth="1"/>
    <col min="5666" max="5667" width="10.140625" style="13" customWidth="1"/>
    <col min="5668" max="5670" width="9.5703125" style="13" customWidth="1"/>
    <col min="5671" max="5671" width="10.140625" style="13" customWidth="1"/>
    <col min="5672" max="5676" width="0" style="13" hidden="1" customWidth="1"/>
    <col min="5677" max="5677" width="10.140625" style="13" customWidth="1"/>
    <col min="5678" max="5680" width="9.5703125" style="13" customWidth="1"/>
    <col min="5681" max="5681" width="10.140625" style="13" customWidth="1"/>
    <col min="5682" max="5693" width="0" style="13" hidden="1" customWidth="1"/>
    <col min="5694" max="5694" width="10.140625" style="13" customWidth="1"/>
    <col min="5695" max="5696" width="9.85546875" style="13" customWidth="1"/>
    <col min="5697" max="5697" width="12.5703125" style="13" customWidth="1"/>
    <col min="5698" max="5698" width="9.85546875" style="13" customWidth="1"/>
    <col min="5699" max="5699" width="12.5703125" style="13" customWidth="1"/>
    <col min="5700" max="5700" width="10.140625" style="13" customWidth="1"/>
    <col min="5701" max="5701" width="9.28515625" style="13" customWidth="1"/>
    <col min="5702" max="5898" width="9.140625" style="13"/>
    <col min="5899" max="5899" width="5.140625" style="13" customWidth="1"/>
    <col min="5900" max="5900" width="24" style="13" customWidth="1"/>
    <col min="5901" max="5901" width="7.7109375" style="13" customWidth="1"/>
    <col min="5902" max="5902" width="9" style="13" customWidth="1"/>
    <col min="5903" max="5905" width="9.140625" style="13" customWidth="1"/>
    <col min="5906" max="5906" width="10.140625" style="13" customWidth="1"/>
    <col min="5907" max="5907" width="10.7109375" style="13" customWidth="1"/>
    <col min="5908" max="5908" width="10" style="13" customWidth="1"/>
    <col min="5909" max="5909" width="9.28515625" style="13" customWidth="1"/>
    <col min="5910" max="5911" width="10.7109375" style="13" customWidth="1"/>
    <col min="5912" max="5912" width="9.28515625" style="13" customWidth="1"/>
    <col min="5913" max="5917" width="10.7109375" style="13" customWidth="1"/>
    <col min="5918" max="5918" width="10.28515625" style="13" customWidth="1"/>
    <col min="5919" max="5921" width="8.85546875" style="13" customWidth="1"/>
    <col min="5922" max="5923" width="10.140625" style="13" customWidth="1"/>
    <col min="5924" max="5926" width="9.5703125" style="13" customWidth="1"/>
    <col min="5927" max="5927" width="10.140625" style="13" customWidth="1"/>
    <col min="5928" max="5932" width="0" style="13" hidden="1" customWidth="1"/>
    <col min="5933" max="5933" width="10.140625" style="13" customWidth="1"/>
    <col min="5934" max="5936" width="9.5703125" style="13" customWidth="1"/>
    <col min="5937" max="5937" width="10.140625" style="13" customWidth="1"/>
    <col min="5938" max="5949" width="0" style="13" hidden="1" customWidth="1"/>
    <col min="5950" max="5950" width="10.140625" style="13" customWidth="1"/>
    <col min="5951" max="5952" width="9.85546875" style="13" customWidth="1"/>
    <col min="5953" max="5953" width="12.5703125" style="13" customWidth="1"/>
    <col min="5954" max="5954" width="9.85546875" style="13" customWidth="1"/>
    <col min="5955" max="5955" width="12.5703125" style="13" customWidth="1"/>
    <col min="5956" max="5956" width="10.140625" style="13" customWidth="1"/>
    <col min="5957" max="5957" width="9.28515625" style="13" customWidth="1"/>
    <col min="5958" max="6154" width="9.140625" style="13"/>
    <col min="6155" max="6155" width="5.140625" style="13" customWidth="1"/>
    <col min="6156" max="6156" width="24" style="13" customWidth="1"/>
    <col min="6157" max="6157" width="7.7109375" style="13" customWidth="1"/>
    <col min="6158" max="6158" width="9" style="13" customWidth="1"/>
    <col min="6159" max="6161" width="9.140625" style="13" customWidth="1"/>
    <col min="6162" max="6162" width="10.140625" style="13" customWidth="1"/>
    <col min="6163" max="6163" width="10.7109375" style="13" customWidth="1"/>
    <col min="6164" max="6164" width="10" style="13" customWidth="1"/>
    <col min="6165" max="6165" width="9.28515625" style="13" customWidth="1"/>
    <col min="6166" max="6167" width="10.7109375" style="13" customWidth="1"/>
    <col min="6168" max="6168" width="9.28515625" style="13" customWidth="1"/>
    <col min="6169" max="6173" width="10.7109375" style="13" customWidth="1"/>
    <col min="6174" max="6174" width="10.28515625" style="13" customWidth="1"/>
    <col min="6175" max="6177" width="8.85546875" style="13" customWidth="1"/>
    <col min="6178" max="6179" width="10.140625" style="13" customWidth="1"/>
    <col min="6180" max="6182" width="9.5703125" style="13" customWidth="1"/>
    <col min="6183" max="6183" width="10.140625" style="13" customWidth="1"/>
    <col min="6184" max="6188" width="0" style="13" hidden="1" customWidth="1"/>
    <col min="6189" max="6189" width="10.140625" style="13" customWidth="1"/>
    <col min="6190" max="6192" width="9.5703125" style="13" customWidth="1"/>
    <col min="6193" max="6193" width="10.140625" style="13" customWidth="1"/>
    <col min="6194" max="6205" width="0" style="13" hidden="1" customWidth="1"/>
    <col min="6206" max="6206" width="10.140625" style="13" customWidth="1"/>
    <col min="6207" max="6208" width="9.85546875" style="13" customWidth="1"/>
    <col min="6209" max="6209" width="12.5703125" style="13" customWidth="1"/>
    <col min="6210" max="6210" width="9.85546875" style="13" customWidth="1"/>
    <col min="6211" max="6211" width="12.5703125" style="13" customWidth="1"/>
    <col min="6212" max="6212" width="10.140625" style="13" customWidth="1"/>
    <col min="6213" max="6213" width="9.28515625" style="13" customWidth="1"/>
    <col min="6214" max="6410" width="9.140625" style="13"/>
    <col min="6411" max="6411" width="5.140625" style="13" customWidth="1"/>
    <col min="6412" max="6412" width="24" style="13" customWidth="1"/>
    <col min="6413" max="6413" width="7.7109375" style="13" customWidth="1"/>
    <col min="6414" max="6414" width="9" style="13" customWidth="1"/>
    <col min="6415" max="6417" width="9.140625" style="13" customWidth="1"/>
    <col min="6418" max="6418" width="10.140625" style="13" customWidth="1"/>
    <col min="6419" max="6419" width="10.7109375" style="13" customWidth="1"/>
    <col min="6420" max="6420" width="10" style="13" customWidth="1"/>
    <col min="6421" max="6421" width="9.28515625" style="13" customWidth="1"/>
    <col min="6422" max="6423" width="10.7109375" style="13" customWidth="1"/>
    <col min="6424" max="6424" width="9.28515625" style="13" customWidth="1"/>
    <col min="6425" max="6429" width="10.7109375" style="13" customWidth="1"/>
    <col min="6430" max="6430" width="10.28515625" style="13" customWidth="1"/>
    <col min="6431" max="6433" width="8.85546875" style="13" customWidth="1"/>
    <col min="6434" max="6435" width="10.140625" style="13" customWidth="1"/>
    <col min="6436" max="6438" width="9.5703125" style="13" customWidth="1"/>
    <col min="6439" max="6439" width="10.140625" style="13" customWidth="1"/>
    <col min="6440" max="6444" width="0" style="13" hidden="1" customWidth="1"/>
    <col min="6445" max="6445" width="10.140625" style="13" customWidth="1"/>
    <col min="6446" max="6448" width="9.5703125" style="13" customWidth="1"/>
    <col min="6449" max="6449" width="10.140625" style="13" customWidth="1"/>
    <col min="6450" max="6461" width="0" style="13" hidden="1" customWidth="1"/>
    <col min="6462" max="6462" width="10.140625" style="13" customWidth="1"/>
    <col min="6463" max="6464" width="9.85546875" style="13" customWidth="1"/>
    <col min="6465" max="6465" width="12.5703125" style="13" customWidth="1"/>
    <col min="6466" max="6466" width="9.85546875" style="13" customWidth="1"/>
    <col min="6467" max="6467" width="12.5703125" style="13" customWidth="1"/>
    <col min="6468" max="6468" width="10.140625" style="13" customWidth="1"/>
    <col min="6469" max="6469" width="9.28515625" style="13" customWidth="1"/>
    <col min="6470" max="6666" width="9.140625" style="13"/>
    <col min="6667" max="6667" width="5.140625" style="13" customWidth="1"/>
    <col min="6668" max="6668" width="24" style="13" customWidth="1"/>
    <col min="6669" max="6669" width="7.7109375" style="13" customWidth="1"/>
    <col min="6670" max="6670" width="9" style="13" customWidth="1"/>
    <col min="6671" max="6673" width="9.140625" style="13" customWidth="1"/>
    <col min="6674" max="6674" width="10.140625" style="13" customWidth="1"/>
    <col min="6675" max="6675" width="10.7109375" style="13" customWidth="1"/>
    <col min="6676" max="6676" width="10" style="13" customWidth="1"/>
    <col min="6677" max="6677" width="9.28515625" style="13" customWidth="1"/>
    <col min="6678" max="6679" width="10.7109375" style="13" customWidth="1"/>
    <col min="6680" max="6680" width="9.28515625" style="13" customWidth="1"/>
    <col min="6681" max="6685" width="10.7109375" style="13" customWidth="1"/>
    <col min="6686" max="6686" width="10.28515625" style="13" customWidth="1"/>
    <col min="6687" max="6689" width="8.85546875" style="13" customWidth="1"/>
    <col min="6690" max="6691" width="10.140625" style="13" customWidth="1"/>
    <col min="6692" max="6694" width="9.5703125" style="13" customWidth="1"/>
    <col min="6695" max="6695" width="10.140625" style="13" customWidth="1"/>
    <col min="6696" max="6700" width="0" style="13" hidden="1" customWidth="1"/>
    <col min="6701" max="6701" width="10.140625" style="13" customWidth="1"/>
    <col min="6702" max="6704" width="9.5703125" style="13" customWidth="1"/>
    <col min="6705" max="6705" width="10.140625" style="13" customWidth="1"/>
    <col min="6706" max="6717" width="0" style="13" hidden="1" customWidth="1"/>
    <col min="6718" max="6718" width="10.140625" style="13" customWidth="1"/>
    <col min="6719" max="6720" width="9.85546875" style="13" customWidth="1"/>
    <col min="6721" max="6721" width="12.5703125" style="13" customWidth="1"/>
    <col min="6722" max="6722" width="9.85546875" style="13" customWidth="1"/>
    <col min="6723" max="6723" width="12.5703125" style="13" customWidth="1"/>
    <col min="6724" max="6724" width="10.140625" style="13" customWidth="1"/>
    <col min="6725" max="6725" width="9.28515625" style="13" customWidth="1"/>
    <col min="6726" max="6922" width="9.140625" style="13"/>
    <col min="6923" max="6923" width="5.140625" style="13" customWidth="1"/>
    <col min="6924" max="6924" width="24" style="13" customWidth="1"/>
    <col min="6925" max="6925" width="7.7109375" style="13" customWidth="1"/>
    <col min="6926" max="6926" width="9" style="13" customWidth="1"/>
    <col min="6927" max="6929" width="9.140625" style="13" customWidth="1"/>
    <col min="6930" max="6930" width="10.140625" style="13" customWidth="1"/>
    <col min="6931" max="6931" width="10.7109375" style="13" customWidth="1"/>
    <col min="6932" max="6932" width="10" style="13" customWidth="1"/>
    <col min="6933" max="6933" width="9.28515625" style="13" customWidth="1"/>
    <col min="6934" max="6935" width="10.7109375" style="13" customWidth="1"/>
    <col min="6936" max="6936" width="9.28515625" style="13" customWidth="1"/>
    <col min="6937" max="6941" width="10.7109375" style="13" customWidth="1"/>
    <col min="6942" max="6942" width="10.28515625" style="13" customWidth="1"/>
    <col min="6943" max="6945" width="8.85546875" style="13" customWidth="1"/>
    <col min="6946" max="6947" width="10.140625" style="13" customWidth="1"/>
    <col min="6948" max="6950" width="9.5703125" style="13" customWidth="1"/>
    <col min="6951" max="6951" width="10.140625" style="13" customWidth="1"/>
    <col min="6952" max="6956" width="0" style="13" hidden="1" customWidth="1"/>
    <col min="6957" max="6957" width="10.140625" style="13" customWidth="1"/>
    <col min="6958" max="6960" width="9.5703125" style="13" customWidth="1"/>
    <col min="6961" max="6961" width="10.140625" style="13" customWidth="1"/>
    <col min="6962" max="6973" width="0" style="13" hidden="1" customWidth="1"/>
    <col min="6974" max="6974" width="10.140625" style="13" customWidth="1"/>
    <col min="6975" max="6976" width="9.85546875" style="13" customWidth="1"/>
    <col min="6977" max="6977" width="12.5703125" style="13" customWidth="1"/>
    <col min="6978" max="6978" width="9.85546875" style="13" customWidth="1"/>
    <col min="6979" max="6979" width="12.5703125" style="13" customWidth="1"/>
    <col min="6980" max="6980" width="10.140625" style="13" customWidth="1"/>
    <col min="6981" max="6981" width="9.28515625" style="13" customWidth="1"/>
    <col min="6982" max="7178" width="9.140625" style="13"/>
    <col min="7179" max="7179" width="5.140625" style="13" customWidth="1"/>
    <col min="7180" max="7180" width="24" style="13" customWidth="1"/>
    <col min="7181" max="7181" width="7.7109375" style="13" customWidth="1"/>
    <col min="7182" max="7182" width="9" style="13" customWidth="1"/>
    <col min="7183" max="7185" width="9.140625" style="13" customWidth="1"/>
    <col min="7186" max="7186" width="10.140625" style="13" customWidth="1"/>
    <col min="7187" max="7187" width="10.7109375" style="13" customWidth="1"/>
    <col min="7188" max="7188" width="10" style="13" customWidth="1"/>
    <col min="7189" max="7189" width="9.28515625" style="13" customWidth="1"/>
    <col min="7190" max="7191" width="10.7109375" style="13" customWidth="1"/>
    <col min="7192" max="7192" width="9.28515625" style="13" customWidth="1"/>
    <col min="7193" max="7197" width="10.7109375" style="13" customWidth="1"/>
    <col min="7198" max="7198" width="10.28515625" style="13" customWidth="1"/>
    <col min="7199" max="7201" width="8.85546875" style="13" customWidth="1"/>
    <col min="7202" max="7203" width="10.140625" style="13" customWidth="1"/>
    <col min="7204" max="7206" width="9.5703125" style="13" customWidth="1"/>
    <col min="7207" max="7207" width="10.140625" style="13" customWidth="1"/>
    <col min="7208" max="7212" width="0" style="13" hidden="1" customWidth="1"/>
    <col min="7213" max="7213" width="10.140625" style="13" customWidth="1"/>
    <col min="7214" max="7216" width="9.5703125" style="13" customWidth="1"/>
    <col min="7217" max="7217" width="10.140625" style="13" customWidth="1"/>
    <col min="7218" max="7229" width="0" style="13" hidden="1" customWidth="1"/>
    <col min="7230" max="7230" width="10.140625" style="13" customWidth="1"/>
    <col min="7231" max="7232" width="9.85546875" style="13" customWidth="1"/>
    <col min="7233" max="7233" width="12.5703125" style="13" customWidth="1"/>
    <col min="7234" max="7234" width="9.85546875" style="13" customWidth="1"/>
    <col min="7235" max="7235" width="12.5703125" style="13" customWidth="1"/>
    <col min="7236" max="7236" width="10.140625" style="13" customWidth="1"/>
    <col min="7237" max="7237" width="9.28515625" style="13" customWidth="1"/>
    <col min="7238" max="7434" width="9.140625" style="13"/>
    <col min="7435" max="7435" width="5.140625" style="13" customWidth="1"/>
    <col min="7436" max="7436" width="24" style="13" customWidth="1"/>
    <col min="7437" max="7437" width="7.7109375" style="13" customWidth="1"/>
    <col min="7438" max="7438" width="9" style="13" customWidth="1"/>
    <col min="7439" max="7441" width="9.140625" style="13" customWidth="1"/>
    <col min="7442" max="7442" width="10.140625" style="13" customWidth="1"/>
    <col min="7443" max="7443" width="10.7109375" style="13" customWidth="1"/>
    <col min="7444" max="7444" width="10" style="13" customWidth="1"/>
    <col min="7445" max="7445" width="9.28515625" style="13" customWidth="1"/>
    <col min="7446" max="7447" width="10.7109375" style="13" customWidth="1"/>
    <col min="7448" max="7448" width="9.28515625" style="13" customWidth="1"/>
    <col min="7449" max="7453" width="10.7109375" style="13" customWidth="1"/>
    <col min="7454" max="7454" width="10.28515625" style="13" customWidth="1"/>
    <col min="7455" max="7457" width="8.85546875" style="13" customWidth="1"/>
    <col min="7458" max="7459" width="10.140625" style="13" customWidth="1"/>
    <col min="7460" max="7462" width="9.5703125" style="13" customWidth="1"/>
    <col min="7463" max="7463" width="10.140625" style="13" customWidth="1"/>
    <col min="7464" max="7468" width="0" style="13" hidden="1" customWidth="1"/>
    <col min="7469" max="7469" width="10.140625" style="13" customWidth="1"/>
    <col min="7470" max="7472" width="9.5703125" style="13" customWidth="1"/>
    <col min="7473" max="7473" width="10.140625" style="13" customWidth="1"/>
    <col min="7474" max="7485" width="0" style="13" hidden="1" customWidth="1"/>
    <col min="7486" max="7486" width="10.140625" style="13" customWidth="1"/>
    <col min="7487" max="7488" width="9.85546875" style="13" customWidth="1"/>
    <col min="7489" max="7489" width="12.5703125" style="13" customWidth="1"/>
    <col min="7490" max="7490" width="9.85546875" style="13" customWidth="1"/>
    <col min="7491" max="7491" width="12.5703125" style="13" customWidth="1"/>
    <col min="7492" max="7492" width="10.140625" style="13" customWidth="1"/>
    <col min="7493" max="7493" width="9.28515625" style="13" customWidth="1"/>
    <col min="7494" max="7690" width="9.140625" style="13"/>
    <col min="7691" max="7691" width="5.140625" style="13" customWidth="1"/>
    <col min="7692" max="7692" width="24" style="13" customWidth="1"/>
    <col min="7693" max="7693" width="7.7109375" style="13" customWidth="1"/>
    <col min="7694" max="7694" width="9" style="13" customWidth="1"/>
    <col min="7695" max="7697" width="9.140625" style="13" customWidth="1"/>
    <col min="7698" max="7698" width="10.140625" style="13" customWidth="1"/>
    <col min="7699" max="7699" width="10.7109375" style="13" customWidth="1"/>
    <col min="7700" max="7700" width="10" style="13" customWidth="1"/>
    <col min="7701" max="7701" width="9.28515625" style="13" customWidth="1"/>
    <col min="7702" max="7703" width="10.7109375" style="13" customWidth="1"/>
    <col min="7704" max="7704" width="9.28515625" style="13" customWidth="1"/>
    <col min="7705" max="7709" width="10.7109375" style="13" customWidth="1"/>
    <col min="7710" max="7710" width="10.28515625" style="13" customWidth="1"/>
    <col min="7711" max="7713" width="8.85546875" style="13" customWidth="1"/>
    <col min="7714" max="7715" width="10.140625" style="13" customWidth="1"/>
    <col min="7716" max="7718" width="9.5703125" style="13" customWidth="1"/>
    <col min="7719" max="7719" width="10.140625" style="13" customWidth="1"/>
    <col min="7720" max="7724" width="0" style="13" hidden="1" customWidth="1"/>
    <col min="7725" max="7725" width="10.140625" style="13" customWidth="1"/>
    <col min="7726" max="7728" width="9.5703125" style="13" customWidth="1"/>
    <col min="7729" max="7729" width="10.140625" style="13" customWidth="1"/>
    <col min="7730" max="7741" width="0" style="13" hidden="1" customWidth="1"/>
    <col min="7742" max="7742" width="10.140625" style="13" customWidth="1"/>
    <col min="7743" max="7744" width="9.85546875" style="13" customWidth="1"/>
    <col min="7745" max="7745" width="12.5703125" style="13" customWidth="1"/>
    <col min="7746" max="7746" width="9.85546875" style="13" customWidth="1"/>
    <col min="7747" max="7747" width="12.5703125" style="13" customWidth="1"/>
    <col min="7748" max="7748" width="10.140625" style="13" customWidth="1"/>
    <col min="7749" max="7749" width="9.28515625" style="13" customWidth="1"/>
    <col min="7750" max="7946" width="9.140625" style="13"/>
    <col min="7947" max="7947" width="5.140625" style="13" customWidth="1"/>
    <col min="7948" max="7948" width="24" style="13" customWidth="1"/>
    <col min="7949" max="7949" width="7.7109375" style="13" customWidth="1"/>
    <col min="7950" max="7950" width="9" style="13" customWidth="1"/>
    <col min="7951" max="7953" width="9.140625" style="13" customWidth="1"/>
    <col min="7954" max="7954" width="10.140625" style="13" customWidth="1"/>
    <col min="7955" max="7955" width="10.7109375" style="13" customWidth="1"/>
    <col min="7956" max="7956" width="10" style="13" customWidth="1"/>
    <col min="7957" max="7957" width="9.28515625" style="13" customWidth="1"/>
    <col min="7958" max="7959" width="10.7109375" style="13" customWidth="1"/>
    <col min="7960" max="7960" width="9.28515625" style="13" customWidth="1"/>
    <col min="7961" max="7965" width="10.7109375" style="13" customWidth="1"/>
    <col min="7966" max="7966" width="10.28515625" style="13" customWidth="1"/>
    <col min="7967" max="7969" width="8.85546875" style="13" customWidth="1"/>
    <col min="7970" max="7971" width="10.140625" style="13" customWidth="1"/>
    <col min="7972" max="7974" width="9.5703125" style="13" customWidth="1"/>
    <col min="7975" max="7975" width="10.140625" style="13" customWidth="1"/>
    <col min="7976" max="7980" width="0" style="13" hidden="1" customWidth="1"/>
    <col min="7981" max="7981" width="10.140625" style="13" customWidth="1"/>
    <col min="7982" max="7984" width="9.5703125" style="13" customWidth="1"/>
    <col min="7985" max="7985" width="10.140625" style="13" customWidth="1"/>
    <col min="7986" max="7997" width="0" style="13" hidden="1" customWidth="1"/>
    <col min="7998" max="7998" width="10.140625" style="13" customWidth="1"/>
    <col min="7999" max="8000" width="9.85546875" style="13" customWidth="1"/>
    <col min="8001" max="8001" width="12.5703125" style="13" customWidth="1"/>
    <col min="8002" max="8002" width="9.85546875" style="13" customWidth="1"/>
    <col min="8003" max="8003" width="12.5703125" style="13" customWidth="1"/>
    <col min="8004" max="8004" width="10.140625" style="13" customWidth="1"/>
    <col min="8005" max="8005" width="9.28515625" style="13" customWidth="1"/>
    <col min="8006" max="8202" width="9.140625" style="13"/>
    <col min="8203" max="8203" width="5.140625" style="13" customWidth="1"/>
    <col min="8204" max="8204" width="24" style="13" customWidth="1"/>
    <col min="8205" max="8205" width="7.7109375" style="13" customWidth="1"/>
    <col min="8206" max="8206" width="9" style="13" customWidth="1"/>
    <col min="8207" max="8209" width="9.140625" style="13" customWidth="1"/>
    <col min="8210" max="8210" width="10.140625" style="13" customWidth="1"/>
    <col min="8211" max="8211" width="10.7109375" style="13" customWidth="1"/>
    <col min="8212" max="8212" width="10" style="13" customWidth="1"/>
    <col min="8213" max="8213" width="9.28515625" style="13" customWidth="1"/>
    <col min="8214" max="8215" width="10.7109375" style="13" customWidth="1"/>
    <col min="8216" max="8216" width="9.28515625" style="13" customWidth="1"/>
    <col min="8217" max="8221" width="10.7109375" style="13" customWidth="1"/>
    <col min="8222" max="8222" width="10.28515625" style="13" customWidth="1"/>
    <col min="8223" max="8225" width="8.85546875" style="13" customWidth="1"/>
    <col min="8226" max="8227" width="10.140625" style="13" customWidth="1"/>
    <col min="8228" max="8230" width="9.5703125" style="13" customWidth="1"/>
    <col min="8231" max="8231" width="10.140625" style="13" customWidth="1"/>
    <col min="8232" max="8236" width="0" style="13" hidden="1" customWidth="1"/>
    <col min="8237" max="8237" width="10.140625" style="13" customWidth="1"/>
    <col min="8238" max="8240" width="9.5703125" style="13" customWidth="1"/>
    <col min="8241" max="8241" width="10.140625" style="13" customWidth="1"/>
    <col min="8242" max="8253" width="0" style="13" hidden="1" customWidth="1"/>
    <col min="8254" max="8254" width="10.140625" style="13" customWidth="1"/>
    <col min="8255" max="8256" width="9.85546875" style="13" customWidth="1"/>
    <col min="8257" max="8257" width="12.5703125" style="13" customWidth="1"/>
    <col min="8258" max="8258" width="9.85546875" style="13" customWidth="1"/>
    <col min="8259" max="8259" width="12.5703125" style="13" customWidth="1"/>
    <col min="8260" max="8260" width="10.140625" style="13" customWidth="1"/>
    <col min="8261" max="8261" width="9.28515625" style="13" customWidth="1"/>
    <col min="8262" max="8458" width="9.140625" style="13"/>
    <col min="8459" max="8459" width="5.140625" style="13" customWidth="1"/>
    <col min="8460" max="8460" width="24" style="13" customWidth="1"/>
    <col min="8461" max="8461" width="7.7109375" style="13" customWidth="1"/>
    <col min="8462" max="8462" width="9" style="13" customWidth="1"/>
    <col min="8463" max="8465" width="9.140625" style="13" customWidth="1"/>
    <col min="8466" max="8466" width="10.140625" style="13" customWidth="1"/>
    <col min="8467" max="8467" width="10.7109375" style="13" customWidth="1"/>
    <col min="8468" max="8468" width="10" style="13" customWidth="1"/>
    <col min="8469" max="8469" width="9.28515625" style="13" customWidth="1"/>
    <col min="8470" max="8471" width="10.7109375" style="13" customWidth="1"/>
    <col min="8472" max="8472" width="9.28515625" style="13" customWidth="1"/>
    <col min="8473" max="8477" width="10.7109375" style="13" customWidth="1"/>
    <col min="8478" max="8478" width="10.28515625" style="13" customWidth="1"/>
    <col min="8479" max="8481" width="8.85546875" style="13" customWidth="1"/>
    <col min="8482" max="8483" width="10.140625" style="13" customWidth="1"/>
    <col min="8484" max="8486" width="9.5703125" style="13" customWidth="1"/>
    <col min="8487" max="8487" width="10.140625" style="13" customWidth="1"/>
    <col min="8488" max="8492" width="0" style="13" hidden="1" customWidth="1"/>
    <col min="8493" max="8493" width="10.140625" style="13" customWidth="1"/>
    <col min="8494" max="8496" width="9.5703125" style="13" customWidth="1"/>
    <col min="8497" max="8497" width="10.140625" style="13" customWidth="1"/>
    <col min="8498" max="8509" width="0" style="13" hidden="1" customWidth="1"/>
    <col min="8510" max="8510" width="10.140625" style="13" customWidth="1"/>
    <col min="8511" max="8512" width="9.85546875" style="13" customWidth="1"/>
    <col min="8513" max="8513" width="12.5703125" style="13" customWidth="1"/>
    <col min="8514" max="8514" width="9.85546875" style="13" customWidth="1"/>
    <col min="8515" max="8515" width="12.5703125" style="13" customWidth="1"/>
    <col min="8516" max="8516" width="10.140625" style="13" customWidth="1"/>
    <col min="8517" max="8517" width="9.28515625" style="13" customWidth="1"/>
    <col min="8518" max="8714" width="9.140625" style="13"/>
    <col min="8715" max="8715" width="5.140625" style="13" customWidth="1"/>
    <col min="8716" max="8716" width="24" style="13" customWidth="1"/>
    <col min="8717" max="8717" width="7.7109375" style="13" customWidth="1"/>
    <col min="8718" max="8718" width="9" style="13" customWidth="1"/>
    <col min="8719" max="8721" width="9.140625" style="13" customWidth="1"/>
    <col min="8722" max="8722" width="10.140625" style="13" customWidth="1"/>
    <col min="8723" max="8723" width="10.7109375" style="13" customWidth="1"/>
    <col min="8724" max="8724" width="10" style="13" customWidth="1"/>
    <col min="8725" max="8725" width="9.28515625" style="13" customWidth="1"/>
    <col min="8726" max="8727" width="10.7109375" style="13" customWidth="1"/>
    <col min="8728" max="8728" width="9.28515625" style="13" customWidth="1"/>
    <col min="8729" max="8733" width="10.7109375" style="13" customWidth="1"/>
    <col min="8734" max="8734" width="10.28515625" style="13" customWidth="1"/>
    <col min="8735" max="8737" width="8.85546875" style="13" customWidth="1"/>
    <col min="8738" max="8739" width="10.140625" style="13" customWidth="1"/>
    <col min="8740" max="8742" width="9.5703125" style="13" customWidth="1"/>
    <col min="8743" max="8743" width="10.140625" style="13" customWidth="1"/>
    <col min="8744" max="8748" width="0" style="13" hidden="1" customWidth="1"/>
    <col min="8749" max="8749" width="10.140625" style="13" customWidth="1"/>
    <col min="8750" max="8752" width="9.5703125" style="13" customWidth="1"/>
    <col min="8753" max="8753" width="10.140625" style="13" customWidth="1"/>
    <col min="8754" max="8765" width="0" style="13" hidden="1" customWidth="1"/>
    <col min="8766" max="8766" width="10.140625" style="13" customWidth="1"/>
    <col min="8767" max="8768" width="9.85546875" style="13" customWidth="1"/>
    <col min="8769" max="8769" width="12.5703125" style="13" customWidth="1"/>
    <col min="8770" max="8770" width="9.85546875" style="13" customWidth="1"/>
    <col min="8771" max="8771" width="12.5703125" style="13" customWidth="1"/>
    <col min="8772" max="8772" width="10.140625" style="13" customWidth="1"/>
    <col min="8773" max="8773" width="9.28515625" style="13" customWidth="1"/>
    <col min="8774" max="8970" width="9.140625" style="13"/>
    <col min="8971" max="8971" width="5.140625" style="13" customWidth="1"/>
    <col min="8972" max="8972" width="24" style="13" customWidth="1"/>
    <col min="8973" max="8973" width="7.7109375" style="13" customWidth="1"/>
    <col min="8974" max="8974" width="9" style="13" customWidth="1"/>
    <col min="8975" max="8977" width="9.140625" style="13" customWidth="1"/>
    <col min="8978" max="8978" width="10.140625" style="13" customWidth="1"/>
    <col min="8979" max="8979" width="10.7109375" style="13" customWidth="1"/>
    <col min="8980" max="8980" width="10" style="13" customWidth="1"/>
    <col min="8981" max="8981" width="9.28515625" style="13" customWidth="1"/>
    <col min="8982" max="8983" width="10.7109375" style="13" customWidth="1"/>
    <col min="8984" max="8984" width="9.28515625" style="13" customWidth="1"/>
    <col min="8985" max="8989" width="10.7109375" style="13" customWidth="1"/>
    <col min="8990" max="8990" width="10.28515625" style="13" customWidth="1"/>
    <col min="8991" max="8993" width="8.85546875" style="13" customWidth="1"/>
    <col min="8994" max="8995" width="10.140625" style="13" customWidth="1"/>
    <col min="8996" max="8998" width="9.5703125" style="13" customWidth="1"/>
    <col min="8999" max="8999" width="10.140625" style="13" customWidth="1"/>
    <col min="9000" max="9004" width="0" style="13" hidden="1" customWidth="1"/>
    <col min="9005" max="9005" width="10.140625" style="13" customWidth="1"/>
    <col min="9006" max="9008" width="9.5703125" style="13" customWidth="1"/>
    <col min="9009" max="9009" width="10.140625" style="13" customWidth="1"/>
    <col min="9010" max="9021" width="0" style="13" hidden="1" customWidth="1"/>
    <col min="9022" max="9022" width="10.140625" style="13" customWidth="1"/>
    <col min="9023" max="9024" width="9.85546875" style="13" customWidth="1"/>
    <col min="9025" max="9025" width="12.5703125" style="13" customWidth="1"/>
    <col min="9026" max="9026" width="9.85546875" style="13" customWidth="1"/>
    <col min="9027" max="9027" width="12.5703125" style="13" customWidth="1"/>
    <col min="9028" max="9028" width="10.140625" style="13" customWidth="1"/>
    <col min="9029" max="9029" width="9.28515625" style="13" customWidth="1"/>
    <col min="9030" max="9226" width="9.140625" style="13"/>
    <col min="9227" max="9227" width="5.140625" style="13" customWidth="1"/>
    <col min="9228" max="9228" width="24" style="13" customWidth="1"/>
    <col min="9229" max="9229" width="7.7109375" style="13" customWidth="1"/>
    <col min="9230" max="9230" width="9" style="13" customWidth="1"/>
    <col min="9231" max="9233" width="9.140625" style="13" customWidth="1"/>
    <col min="9234" max="9234" width="10.140625" style="13" customWidth="1"/>
    <col min="9235" max="9235" width="10.7109375" style="13" customWidth="1"/>
    <col min="9236" max="9236" width="10" style="13" customWidth="1"/>
    <col min="9237" max="9237" width="9.28515625" style="13" customWidth="1"/>
    <col min="9238" max="9239" width="10.7109375" style="13" customWidth="1"/>
    <col min="9240" max="9240" width="9.28515625" style="13" customWidth="1"/>
    <col min="9241" max="9245" width="10.7109375" style="13" customWidth="1"/>
    <col min="9246" max="9246" width="10.28515625" style="13" customWidth="1"/>
    <col min="9247" max="9249" width="8.85546875" style="13" customWidth="1"/>
    <col min="9250" max="9251" width="10.140625" style="13" customWidth="1"/>
    <col min="9252" max="9254" width="9.5703125" style="13" customWidth="1"/>
    <col min="9255" max="9255" width="10.140625" style="13" customWidth="1"/>
    <col min="9256" max="9260" width="0" style="13" hidden="1" customWidth="1"/>
    <col min="9261" max="9261" width="10.140625" style="13" customWidth="1"/>
    <col min="9262" max="9264" width="9.5703125" style="13" customWidth="1"/>
    <col min="9265" max="9265" width="10.140625" style="13" customWidth="1"/>
    <col min="9266" max="9277" width="0" style="13" hidden="1" customWidth="1"/>
    <col min="9278" max="9278" width="10.140625" style="13" customWidth="1"/>
    <col min="9279" max="9280" width="9.85546875" style="13" customWidth="1"/>
    <col min="9281" max="9281" width="12.5703125" style="13" customWidth="1"/>
    <col min="9282" max="9282" width="9.85546875" style="13" customWidth="1"/>
    <col min="9283" max="9283" width="12.5703125" style="13" customWidth="1"/>
    <col min="9284" max="9284" width="10.140625" style="13" customWidth="1"/>
    <col min="9285" max="9285" width="9.28515625" style="13" customWidth="1"/>
    <col min="9286" max="9482" width="9.140625" style="13"/>
    <col min="9483" max="9483" width="5.140625" style="13" customWidth="1"/>
    <col min="9484" max="9484" width="24" style="13" customWidth="1"/>
    <col min="9485" max="9485" width="7.7109375" style="13" customWidth="1"/>
    <col min="9486" max="9486" width="9" style="13" customWidth="1"/>
    <col min="9487" max="9489" width="9.140625" style="13" customWidth="1"/>
    <col min="9490" max="9490" width="10.140625" style="13" customWidth="1"/>
    <col min="9491" max="9491" width="10.7109375" style="13" customWidth="1"/>
    <col min="9492" max="9492" width="10" style="13" customWidth="1"/>
    <col min="9493" max="9493" width="9.28515625" style="13" customWidth="1"/>
    <col min="9494" max="9495" width="10.7109375" style="13" customWidth="1"/>
    <col min="9496" max="9496" width="9.28515625" style="13" customWidth="1"/>
    <col min="9497" max="9501" width="10.7109375" style="13" customWidth="1"/>
    <col min="9502" max="9502" width="10.28515625" style="13" customWidth="1"/>
    <col min="9503" max="9505" width="8.85546875" style="13" customWidth="1"/>
    <col min="9506" max="9507" width="10.140625" style="13" customWidth="1"/>
    <col min="9508" max="9510" width="9.5703125" style="13" customWidth="1"/>
    <col min="9511" max="9511" width="10.140625" style="13" customWidth="1"/>
    <col min="9512" max="9516" width="0" style="13" hidden="1" customWidth="1"/>
    <col min="9517" max="9517" width="10.140625" style="13" customWidth="1"/>
    <col min="9518" max="9520" width="9.5703125" style="13" customWidth="1"/>
    <col min="9521" max="9521" width="10.140625" style="13" customWidth="1"/>
    <col min="9522" max="9533" width="0" style="13" hidden="1" customWidth="1"/>
    <col min="9534" max="9534" width="10.140625" style="13" customWidth="1"/>
    <col min="9535" max="9536" width="9.85546875" style="13" customWidth="1"/>
    <col min="9537" max="9537" width="12.5703125" style="13" customWidth="1"/>
    <col min="9538" max="9538" width="9.85546875" style="13" customWidth="1"/>
    <col min="9539" max="9539" width="12.5703125" style="13" customWidth="1"/>
    <col min="9540" max="9540" width="10.140625" style="13" customWidth="1"/>
    <col min="9541" max="9541" width="9.28515625" style="13" customWidth="1"/>
    <col min="9542" max="9738" width="9.140625" style="13"/>
    <col min="9739" max="9739" width="5.140625" style="13" customWidth="1"/>
    <col min="9740" max="9740" width="24" style="13" customWidth="1"/>
    <col min="9741" max="9741" width="7.7109375" style="13" customWidth="1"/>
    <col min="9742" max="9742" width="9" style="13" customWidth="1"/>
    <col min="9743" max="9745" width="9.140625" style="13" customWidth="1"/>
    <col min="9746" max="9746" width="10.140625" style="13" customWidth="1"/>
    <col min="9747" max="9747" width="10.7109375" style="13" customWidth="1"/>
    <col min="9748" max="9748" width="10" style="13" customWidth="1"/>
    <col min="9749" max="9749" width="9.28515625" style="13" customWidth="1"/>
    <col min="9750" max="9751" width="10.7109375" style="13" customWidth="1"/>
    <col min="9752" max="9752" width="9.28515625" style="13" customWidth="1"/>
    <col min="9753" max="9757" width="10.7109375" style="13" customWidth="1"/>
    <col min="9758" max="9758" width="10.28515625" style="13" customWidth="1"/>
    <col min="9759" max="9761" width="8.85546875" style="13" customWidth="1"/>
    <col min="9762" max="9763" width="10.140625" style="13" customWidth="1"/>
    <col min="9764" max="9766" width="9.5703125" style="13" customWidth="1"/>
    <col min="9767" max="9767" width="10.140625" style="13" customWidth="1"/>
    <col min="9768" max="9772" width="0" style="13" hidden="1" customWidth="1"/>
    <col min="9773" max="9773" width="10.140625" style="13" customWidth="1"/>
    <col min="9774" max="9776" width="9.5703125" style="13" customWidth="1"/>
    <col min="9777" max="9777" width="10.140625" style="13" customWidth="1"/>
    <col min="9778" max="9789" width="0" style="13" hidden="1" customWidth="1"/>
    <col min="9790" max="9790" width="10.140625" style="13" customWidth="1"/>
    <col min="9791" max="9792" width="9.85546875" style="13" customWidth="1"/>
    <col min="9793" max="9793" width="12.5703125" style="13" customWidth="1"/>
    <col min="9794" max="9794" width="9.85546875" style="13" customWidth="1"/>
    <col min="9795" max="9795" width="12.5703125" style="13" customWidth="1"/>
    <col min="9796" max="9796" width="10.140625" style="13" customWidth="1"/>
    <col min="9797" max="9797" width="9.28515625" style="13" customWidth="1"/>
    <col min="9798" max="9994" width="9.140625" style="13"/>
    <col min="9995" max="9995" width="5.140625" style="13" customWidth="1"/>
    <col min="9996" max="9996" width="24" style="13" customWidth="1"/>
    <col min="9997" max="9997" width="7.7109375" style="13" customWidth="1"/>
    <col min="9998" max="9998" width="9" style="13" customWidth="1"/>
    <col min="9999" max="10001" width="9.140625" style="13" customWidth="1"/>
    <col min="10002" max="10002" width="10.140625" style="13" customWidth="1"/>
    <col min="10003" max="10003" width="10.7109375" style="13" customWidth="1"/>
    <col min="10004" max="10004" width="10" style="13" customWidth="1"/>
    <col min="10005" max="10005" width="9.28515625" style="13" customWidth="1"/>
    <col min="10006" max="10007" width="10.7109375" style="13" customWidth="1"/>
    <col min="10008" max="10008" width="9.28515625" style="13" customWidth="1"/>
    <col min="10009" max="10013" width="10.7109375" style="13" customWidth="1"/>
    <col min="10014" max="10014" width="10.28515625" style="13" customWidth="1"/>
    <col min="10015" max="10017" width="8.85546875" style="13" customWidth="1"/>
    <col min="10018" max="10019" width="10.140625" style="13" customWidth="1"/>
    <col min="10020" max="10022" width="9.5703125" style="13" customWidth="1"/>
    <col min="10023" max="10023" width="10.140625" style="13" customWidth="1"/>
    <col min="10024" max="10028" width="0" style="13" hidden="1" customWidth="1"/>
    <col min="10029" max="10029" width="10.140625" style="13" customWidth="1"/>
    <col min="10030" max="10032" width="9.5703125" style="13" customWidth="1"/>
    <col min="10033" max="10033" width="10.140625" style="13" customWidth="1"/>
    <col min="10034" max="10045" width="0" style="13" hidden="1" customWidth="1"/>
    <col min="10046" max="10046" width="10.140625" style="13" customWidth="1"/>
    <col min="10047" max="10048" width="9.85546875" style="13" customWidth="1"/>
    <col min="10049" max="10049" width="12.5703125" style="13" customWidth="1"/>
    <col min="10050" max="10050" width="9.85546875" style="13" customWidth="1"/>
    <col min="10051" max="10051" width="12.5703125" style="13" customWidth="1"/>
    <col min="10052" max="10052" width="10.140625" style="13" customWidth="1"/>
    <col min="10053" max="10053" width="9.28515625" style="13" customWidth="1"/>
    <col min="10054" max="10250" width="9.140625" style="13"/>
    <col min="10251" max="10251" width="5.140625" style="13" customWidth="1"/>
    <col min="10252" max="10252" width="24" style="13" customWidth="1"/>
    <col min="10253" max="10253" width="7.7109375" style="13" customWidth="1"/>
    <col min="10254" max="10254" width="9" style="13" customWidth="1"/>
    <col min="10255" max="10257" width="9.140625" style="13" customWidth="1"/>
    <col min="10258" max="10258" width="10.140625" style="13" customWidth="1"/>
    <col min="10259" max="10259" width="10.7109375" style="13" customWidth="1"/>
    <col min="10260" max="10260" width="10" style="13" customWidth="1"/>
    <col min="10261" max="10261" width="9.28515625" style="13" customWidth="1"/>
    <col min="10262" max="10263" width="10.7109375" style="13" customWidth="1"/>
    <col min="10264" max="10264" width="9.28515625" style="13" customWidth="1"/>
    <col min="10265" max="10269" width="10.7109375" style="13" customWidth="1"/>
    <col min="10270" max="10270" width="10.28515625" style="13" customWidth="1"/>
    <col min="10271" max="10273" width="8.85546875" style="13" customWidth="1"/>
    <col min="10274" max="10275" width="10.140625" style="13" customWidth="1"/>
    <col min="10276" max="10278" width="9.5703125" style="13" customWidth="1"/>
    <col min="10279" max="10279" width="10.140625" style="13" customWidth="1"/>
    <col min="10280" max="10284" width="0" style="13" hidden="1" customWidth="1"/>
    <col min="10285" max="10285" width="10.140625" style="13" customWidth="1"/>
    <col min="10286" max="10288" width="9.5703125" style="13" customWidth="1"/>
    <col min="10289" max="10289" width="10.140625" style="13" customWidth="1"/>
    <col min="10290" max="10301" width="0" style="13" hidden="1" customWidth="1"/>
    <col min="10302" max="10302" width="10.140625" style="13" customWidth="1"/>
    <col min="10303" max="10304" width="9.85546875" style="13" customWidth="1"/>
    <col min="10305" max="10305" width="12.5703125" style="13" customWidth="1"/>
    <col min="10306" max="10306" width="9.85546875" style="13" customWidth="1"/>
    <col min="10307" max="10307" width="12.5703125" style="13" customWidth="1"/>
    <col min="10308" max="10308" width="10.140625" style="13" customWidth="1"/>
    <col min="10309" max="10309" width="9.28515625" style="13" customWidth="1"/>
    <col min="10310" max="10506" width="9.140625" style="13"/>
    <col min="10507" max="10507" width="5.140625" style="13" customWidth="1"/>
    <col min="10508" max="10508" width="24" style="13" customWidth="1"/>
    <col min="10509" max="10509" width="7.7109375" style="13" customWidth="1"/>
    <col min="10510" max="10510" width="9" style="13" customWidth="1"/>
    <col min="10511" max="10513" width="9.140625" style="13" customWidth="1"/>
    <col min="10514" max="10514" width="10.140625" style="13" customWidth="1"/>
    <col min="10515" max="10515" width="10.7109375" style="13" customWidth="1"/>
    <col min="10516" max="10516" width="10" style="13" customWidth="1"/>
    <col min="10517" max="10517" width="9.28515625" style="13" customWidth="1"/>
    <col min="10518" max="10519" width="10.7109375" style="13" customWidth="1"/>
    <col min="10520" max="10520" width="9.28515625" style="13" customWidth="1"/>
    <col min="10521" max="10525" width="10.7109375" style="13" customWidth="1"/>
    <col min="10526" max="10526" width="10.28515625" style="13" customWidth="1"/>
    <col min="10527" max="10529" width="8.85546875" style="13" customWidth="1"/>
    <col min="10530" max="10531" width="10.140625" style="13" customWidth="1"/>
    <col min="10532" max="10534" width="9.5703125" style="13" customWidth="1"/>
    <col min="10535" max="10535" width="10.140625" style="13" customWidth="1"/>
    <col min="10536" max="10540" width="0" style="13" hidden="1" customWidth="1"/>
    <col min="10541" max="10541" width="10.140625" style="13" customWidth="1"/>
    <col min="10542" max="10544" width="9.5703125" style="13" customWidth="1"/>
    <col min="10545" max="10545" width="10.140625" style="13" customWidth="1"/>
    <col min="10546" max="10557" width="0" style="13" hidden="1" customWidth="1"/>
    <col min="10558" max="10558" width="10.140625" style="13" customWidth="1"/>
    <col min="10559" max="10560" width="9.85546875" style="13" customWidth="1"/>
    <col min="10561" max="10561" width="12.5703125" style="13" customWidth="1"/>
    <col min="10562" max="10562" width="9.85546875" style="13" customWidth="1"/>
    <col min="10563" max="10563" width="12.5703125" style="13" customWidth="1"/>
    <col min="10564" max="10564" width="10.140625" style="13" customWidth="1"/>
    <col min="10565" max="10565" width="9.28515625" style="13" customWidth="1"/>
    <col min="10566" max="10762" width="9.140625" style="13"/>
    <col min="10763" max="10763" width="5.140625" style="13" customWidth="1"/>
    <col min="10764" max="10764" width="24" style="13" customWidth="1"/>
    <col min="10765" max="10765" width="7.7109375" style="13" customWidth="1"/>
    <col min="10766" max="10766" width="9" style="13" customWidth="1"/>
    <col min="10767" max="10769" width="9.140625" style="13" customWidth="1"/>
    <col min="10770" max="10770" width="10.140625" style="13" customWidth="1"/>
    <col min="10771" max="10771" width="10.7109375" style="13" customWidth="1"/>
    <col min="10772" max="10772" width="10" style="13" customWidth="1"/>
    <col min="10773" max="10773" width="9.28515625" style="13" customWidth="1"/>
    <col min="10774" max="10775" width="10.7109375" style="13" customWidth="1"/>
    <col min="10776" max="10776" width="9.28515625" style="13" customWidth="1"/>
    <col min="10777" max="10781" width="10.7109375" style="13" customWidth="1"/>
    <col min="10782" max="10782" width="10.28515625" style="13" customWidth="1"/>
    <col min="10783" max="10785" width="8.85546875" style="13" customWidth="1"/>
    <col min="10786" max="10787" width="10.140625" style="13" customWidth="1"/>
    <col min="10788" max="10790" width="9.5703125" style="13" customWidth="1"/>
    <col min="10791" max="10791" width="10.140625" style="13" customWidth="1"/>
    <col min="10792" max="10796" width="0" style="13" hidden="1" customWidth="1"/>
    <col min="10797" max="10797" width="10.140625" style="13" customWidth="1"/>
    <col min="10798" max="10800" width="9.5703125" style="13" customWidth="1"/>
    <col min="10801" max="10801" width="10.140625" style="13" customWidth="1"/>
    <col min="10802" max="10813" width="0" style="13" hidden="1" customWidth="1"/>
    <col min="10814" max="10814" width="10.140625" style="13" customWidth="1"/>
    <col min="10815" max="10816" width="9.85546875" style="13" customWidth="1"/>
    <col min="10817" max="10817" width="12.5703125" style="13" customWidth="1"/>
    <col min="10818" max="10818" width="9.85546875" style="13" customWidth="1"/>
    <col min="10819" max="10819" width="12.5703125" style="13" customWidth="1"/>
    <col min="10820" max="10820" width="10.140625" style="13" customWidth="1"/>
    <col min="10821" max="10821" width="9.28515625" style="13" customWidth="1"/>
    <col min="10822" max="11018" width="9.140625" style="13"/>
    <col min="11019" max="11019" width="5.140625" style="13" customWidth="1"/>
    <col min="11020" max="11020" width="24" style="13" customWidth="1"/>
    <col min="11021" max="11021" width="7.7109375" style="13" customWidth="1"/>
    <col min="11022" max="11022" width="9" style="13" customWidth="1"/>
    <col min="11023" max="11025" width="9.140625" style="13" customWidth="1"/>
    <col min="11026" max="11026" width="10.140625" style="13" customWidth="1"/>
    <col min="11027" max="11027" width="10.7109375" style="13" customWidth="1"/>
    <col min="11028" max="11028" width="10" style="13" customWidth="1"/>
    <col min="11029" max="11029" width="9.28515625" style="13" customWidth="1"/>
    <col min="11030" max="11031" width="10.7109375" style="13" customWidth="1"/>
    <col min="11032" max="11032" width="9.28515625" style="13" customWidth="1"/>
    <col min="11033" max="11037" width="10.7109375" style="13" customWidth="1"/>
    <col min="11038" max="11038" width="10.28515625" style="13" customWidth="1"/>
    <col min="11039" max="11041" width="8.85546875" style="13" customWidth="1"/>
    <col min="11042" max="11043" width="10.140625" style="13" customWidth="1"/>
    <col min="11044" max="11046" width="9.5703125" style="13" customWidth="1"/>
    <col min="11047" max="11047" width="10.140625" style="13" customWidth="1"/>
    <col min="11048" max="11052" width="0" style="13" hidden="1" customWidth="1"/>
    <col min="11053" max="11053" width="10.140625" style="13" customWidth="1"/>
    <col min="11054" max="11056" width="9.5703125" style="13" customWidth="1"/>
    <col min="11057" max="11057" width="10.140625" style="13" customWidth="1"/>
    <col min="11058" max="11069" width="0" style="13" hidden="1" customWidth="1"/>
    <col min="11070" max="11070" width="10.140625" style="13" customWidth="1"/>
    <col min="11071" max="11072" width="9.85546875" style="13" customWidth="1"/>
    <col min="11073" max="11073" width="12.5703125" style="13" customWidth="1"/>
    <col min="11074" max="11074" width="9.85546875" style="13" customWidth="1"/>
    <col min="11075" max="11075" width="12.5703125" style="13" customWidth="1"/>
    <col min="11076" max="11076" width="10.140625" style="13" customWidth="1"/>
    <col min="11077" max="11077" width="9.28515625" style="13" customWidth="1"/>
    <col min="11078" max="11274" width="9.140625" style="13"/>
    <col min="11275" max="11275" width="5.140625" style="13" customWidth="1"/>
    <col min="11276" max="11276" width="24" style="13" customWidth="1"/>
    <col min="11277" max="11277" width="7.7109375" style="13" customWidth="1"/>
    <col min="11278" max="11278" width="9" style="13" customWidth="1"/>
    <col min="11279" max="11281" width="9.140625" style="13" customWidth="1"/>
    <col min="11282" max="11282" width="10.140625" style="13" customWidth="1"/>
    <col min="11283" max="11283" width="10.7109375" style="13" customWidth="1"/>
    <col min="11284" max="11284" width="10" style="13" customWidth="1"/>
    <col min="11285" max="11285" width="9.28515625" style="13" customWidth="1"/>
    <col min="11286" max="11287" width="10.7109375" style="13" customWidth="1"/>
    <col min="11288" max="11288" width="9.28515625" style="13" customWidth="1"/>
    <col min="11289" max="11293" width="10.7109375" style="13" customWidth="1"/>
    <col min="11294" max="11294" width="10.28515625" style="13" customWidth="1"/>
    <col min="11295" max="11297" width="8.85546875" style="13" customWidth="1"/>
    <col min="11298" max="11299" width="10.140625" style="13" customWidth="1"/>
    <col min="11300" max="11302" width="9.5703125" style="13" customWidth="1"/>
    <col min="11303" max="11303" width="10.140625" style="13" customWidth="1"/>
    <col min="11304" max="11308" width="0" style="13" hidden="1" customWidth="1"/>
    <col min="11309" max="11309" width="10.140625" style="13" customWidth="1"/>
    <col min="11310" max="11312" width="9.5703125" style="13" customWidth="1"/>
    <col min="11313" max="11313" width="10.140625" style="13" customWidth="1"/>
    <col min="11314" max="11325" width="0" style="13" hidden="1" customWidth="1"/>
    <col min="11326" max="11326" width="10.140625" style="13" customWidth="1"/>
    <col min="11327" max="11328" width="9.85546875" style="13" customWidth="1"/>
    <col min="11329" max="11329" width="12.5703125" style="13" customWidth="1"/>
    <col min="11330" max="11330" width="9.85546875" style="13" customWidth="1"/>
    <col min="11331" max="11331" width="12.5703125" style="13" customWidth="1"/>
    <col min="11332" max="11332" width="10.140625" style="13" customWidth="1"/>
    <col min="11333" max="11333" width="9.28515625" style="13" customWidth="1"/>
    <col min="11334" max="11530" width="9.140625" style="13"/>
    <col min="11531" max="11531" width="5.140625" style="13" customWidth="1"/>
    <col min="11532" max="11532" width="24" style="13" customWidth="1"/>
    <col min="11533" max="11533" width="7.7109375" style="13" customWidth="1"/>
    <col min="11534" max="11534" width="9" style="13" customWidth="1"/>
    <col min="11535" max="11537" width="9.140625" style="13" customWidth="1"/>
    <col min="11538" max="11538" width="10.140625" style="13" customWidth="1"/>
    <col min="11539" max="11539" width="10.7109375" style="13" customWidth="1"/>
    <col min="11540" max="11540" width="10" style="13" customWidth="1"/>
    <col min="11541" max="11541" width="9.28515625" style="13" customWidth="1"/>
    <col min="11542" max="11543" width="10.7109375" style="13" customWidth="1"/>
    <col min="11544" max="11544" width="9.28515625" style="13" customWidth="1"/>
    <col min="11545" max="11549" width="10.7109375" style="13" customWidth="1"/>
    <col min="11550" max="11550" width="10.28515625" style="13" customWidth="1"/>
    <col min="11551" max="11553" width="8.85546875" style="13" customWidth="1"/>
    <col min="11554" max="11555" width="10.140625" style="13" customWidth="1"/>
    <col min="11556" max="11558" width="9.5703125" style="13" customWidth="1"/>
    <col min="11559" max="11559" width="10.140625" style="13" customWidth="1"/>
    <col min="11560" max="11564" width="0" style="13" hidden="1" customWidth="1"/>
    <col min="11565" max="11565" width="10.140625" style="13" customWidth="1"/>
    <col min="11566" max="11568" width="9.5703125" style="13" customWidth="1"/>
    <col min="11569" max="11569" width="10.140625" style="13" customWidth="1"/>
    <col min="11570" max="11581" width="0" style="13" hidden="1" customWidth="1"/>
    <col min="11582" max="11582" width="10.140625" style="13" customWidth="1"/>
    <col min="11583" max="11584" width="9.85546875" style="13" customWidth="1"/>
    <col min="11585" max="11585" width="12.5703125" style="13" customWidth="1"/>
    <col min="11586" max="11586" width="9.85546875" style="13" customWidth="1"/>
    <col min="11587" max="11587" width="12.5703125" style="13" customWidth="1"/>
    <col min="11588" max="11588" width="10.140625" style="13" customWidth="1"/>
    <col min="11589" max="11589" width="9.28515625" style="13" customWidth="1"/>
    <col min="11590" max="11786" width="9.140625" style="13"/>
    <col min="11787" max="11787" width="5.140625" style="13" customWidth="1"/>
    <col min="11788" max="11788" width="24" style="13" customWidth="1"/>
    <col min="11789" max="11789" width="7.7109375" style="13" customWidth="1"/>
    <col min="11790" max="11790" width="9" style="13" customWidth="1"/>
    <col min="11791" max="11793" width="9.140625" style="13" customWidth="1"/>
    <col min="11794" max="11794" width="10.140625" style="13" customWidth="1"/>
    <col min="11795" max="11795" width="10.7109375" style="13" customWidth="1"/>
    <col min="11796" max="11796" width="10" style="13" customWidth="1"/>
    <col min="11797" max="11797" width="9.28515625" style="13" customWidth="1"/>
    <col min="11798" max="11799" width="10.7109375" style="13" customWidth="1"/>
    <col min="11800" max="11800" width="9.28515625" style="13" customWidth="1"/>
    <col min="11801" max="11805" width="10.7109375" style="13" customWidth="1"/>
    <col min="11806" max="11806" width="10.28515625" style="13" customWidth="1"/>
    <col min="11807" max="11809" width="8.85546875" style="13" customWidth="1"/>
    <col min="11810" max="11811" width="10.140625" style="13" customWidth="1"/>
    <col min="11812" max="11814" width="9.5703125" style="13" customWidth="1"/>
    <col min="11815" max="11815" width="10.140625" style="13" customWidth="1"/>
    <col min="11816" max="11820" width="0" style="13" hidden="1" customWidth="1"/>
    <col min="11821" max="11821" width="10.140625" style="13" customWidth="1"/>
    <col min="11822" max="11824" width="9.5703125" style="13" customWidth="1"/>
    <col min="11825" max="11825" width="10.140625" style="13" customWidth="1"/>
    <col min="11826" max="11837" width="0" style="13" hidden="1" customWidth="1"/>
    <col min="11838" max="11838" width="10.140625" style="13" customWidth="1"/>
    <col min="11839" max="11840" width="9.85546875" style="13" customWidth="1"/>
    <col min="11841" max="11841" width="12.5703125" style="13" customWidth="1"/>
    <col min="11842" max="11842" width="9.85546875" style="13" customWidth="1"/>
    <col min="11843" max="11843" width="12.5703125" style="13" customWidth="1"/>
    <col min="11844" max="11844" width="10.140625" style="13" customWidth="1"/>
    <col min="11845" max="11845" width="9.28515625" style="13" customWidth="1"/>
    <col min="11846" max="12042" width="9.140625" style="13"/>
    <col min="12043" max="12043" width="5.140625" style="13" customWidth="1"/>
    <col min="12044" max="12044" width="24" style="13" customWidth="1"/>
    <col min="12045" max="12045" width="7.7109375" style="13" customWidth="1"/>
    <col min="12046" max="12046" width="9" style="13" customWidth="1"/>
    <col min="12047" max="12049" width="9.140625" style="13" customWidth="1"/>
    <col min="12050" max="12050" width="10.140625" style="13" customWidth="1"/>
    <col min="12051" max="12051" width="10.7109375" style="13" customWidth="1"/>
    <col min="12052" max="12052" width="10" style="13" customWidth="1"/>
    <col min="12053" max="12053" width="9.28515625" style="13" customWidth="1"/>
    <col min="12054" max="12055" width="10.7109375" style="13" customWidth="1"/>
    <col min="12056" max="12056" width="9.28515625" style="13" customWidth="1"/>
    <col min="12057" max="12061" width="10.7109375" style="13" customWidth="1"/>
    <col min="12062" max="12062" width="10.28515625" style="13" customWidth="1"/>
    <col min="12063" max="12065" width="8.85546875" style="13" customWidth="1"/>
    <col min="12066" max="12067" width="10.140625" style="13" customWidth="1"/>
    <col min="12068" max="12070" width="9.5703125" style="13" customWidth="1"/>
    <col min="12071" max="12071" width="10.140625" style="13" customWidth="1"/>
    <col min="12072" max="12076" width="0" style="13" hidden="1" customWidth="1"/>
    <col min="12077" max="12077" width="10.140625" style="13" customWidth="1"/>
    <col min="12078" max="12080" width="9.5703125" style="13" customWidth="1"/>
    <col min="12081" max="12081" width="10.140625" style="13" customWidth="1"/>
    <col min="12082" max="12093" width="0" style="13" hidden="1" customWidth="1"/>
    <col min="12094" max="12094" width="10.140625" style="13" customWidth="1"/>
    <col min="12095" max="12096" width="9.85546875" style="13" customWidth="1"/>
    <col min="12097" max="12097" width="12.5703125" style="13" customWidth="1"/>
    <col min="12098" max="12098" width="9.85546875" style="13" customWidth="1"/>
    <col min="12099" max="12099" width="12.5703125" style="13" customWidth="1"/>
    <col min="12100" max="12100" width="10.140625" style="13" customWidth="1"/>
    <col min="12101" max="12101" width="9.28515625" style="13" customWidth="1"/>
    <col min="12102" max="12298" width="9.140625" style="13"/>
    <col min="12299" max="12299" width="5.140625" style="13" customWidth="1"/>
    <col min="12300" max="12300" width="24" style="13" customWidth="1"/>
    <col min="12301" max="12301" width="7.7109375" style="13" customWidth="1"/>
    <col min="12302" max="12302" width="9" style="13" customWidth="1"/>
    <col min="12303" max="12305" width="9.140625" style="13" customWidth="1"/>
    <col min="12306" max="12306" width="10.140625" style="13" customWidth="1"/>
    <col min="12307" max="12307" width="10.7109375" style="13" customWidth="1"/>
    <col min="12308" max="12308" width="10" style="13" customWidth="1"/>
    <col min="12309" max="12309" width="9.28515625" style="13" customWidth="1"/>
    <col min="12310" max="12311" width="10.7109375" style="13" customWidth="1"/>
    <col min="12312" max="12312" width="9.28515625" style="13" customWidth="1"/>
    <col min="12313" max="12317" width="10.7109375" style="13" customWidth="1"/>
    <col min="12318" max="12318" width="10.28515625" style="13" customWidth="1"/>
    <col min="12319" max="12321" width="8.85546875" style="13" customWidth="1"/>
    <col min="12322" max="12323" width="10.140625" style="13" customWidth="1"/>
    <col min="12324" max="12326" width="9.5703125" style="13" customWidth="1"/>
    <col min="12327" max="12327" width="10.140625" style="13" customWidth="1"/>
    <col min="12328" max="12332" width="0" style="13" hidden="1" customWidth="1"/>
    <col min="12333" max="12333" width="10.140625" style="13" customWidth="1"/>
    <col min="12334" max="12336" width="9.5703125" style="13" customWidth="1"/>
    <col min="12337" max="12337" width="10.140625" style="13" customWidth="1"/>
    <col min="12338" max="12349" width="0" style="13" hidden="1" customWidth="1"/>
    <col min="12350" max="12350" width="10.140625" style="13" customWidth="1"/>
    <col min="12351" max="12352" width="9.85546875" style="13" customWidth="1"/>
    <col min="12353" max="12353" width="12.5703125" style="13" customWidth="1"/>
    <col min="12354" max="12354" width="9.85546875" style="13" customWidth="1"/>
    <col min="12355" max="12355" width="12.5703125" style="13" customWidth="1"/>
    <col min="12356" max="12356" width="10.140625" style="13" customWidth="1"/>
    <col min="12357" max="12357" width="9.28515625" style="13" customWidth="1"/>
    <col min="12358" max="12554" width="9.140625" style="13"/>
    <col min="12555" max="12555" width="5.140625" style="13" customWidth="1"/>
    <col min="12556" max="12556" width="24" style="13" customWidth="1"/>
    <col min="12557" max="12557" width="7.7109375" style="13" customWidth="1"/>
    <col min="12558" max="12558" width="9" style="13" customWidth="1"/>
    <col min="12559" max="12561" width="9.140625" style="13" customWidth="1"/>
    <col min="12562" max="12562" width="10.140625" style="13" customWidth="1"/>
    <col min="12563" max="12563" width="10.7109375" style="13" customWidth="1"/>
    <col min="12564" max="12564" width="10" style="13" customWidth="1"/>
    <col min="12565" max="12565" width="9.28515625" style="13" customWidth="1"/>
    <col min="12566" max="12567" width="10.7109375" style="13" customWidth="1"/>
    <col min="12568" max="12568" width="9.28515625" style="13" customWidth="1"/>
    <col min="12569" max="12573" width="10.7109375" style="13" customWidth="1"/>
    <col min="12574" max="12574" width="10.28515625" style="13" customWidth="1"/>
    <col min="12575" max="12577" width="8.85546875" style="13" customWidth="1"/>
    <col min="12578" max="12579" width="10.140625" style="13" customWidth="1"/>
    <col min="12580" max="12582" width="9.5703125" style="13" customWidth="1"/>
    <col min="12583" max="12583" width="10.140625" style="13" customWidth="1"/>
    <col min="12584" max="12588" width="0" style="13" hidden="1" customWidth="1"/>
    <col min="12589" max="12589" width="10.140625" style="13" customWidth="1"/>
    <col min="12590" max="12592" width="9.5703125" style="13" customWidth="1"/>
    <col min="12593" max="12593" width="10.140625" style="13" customWidth="1"/>
    <col min="12594" max="12605" width="0" style="13" hidden="1" customWidth="1"/>
    <col min="12606" max="12606" width="10.140625" style="13" customWidth="1"/>
    <col min="12607" max="12608" width="9.85546875" style="13" customWidth="1"/>
    <col min="12609" max="12609" width="12.5703125" style="13" customWidth="1"/>
    <col min="12610" max="12610" width="9.85546875" style="13" customWidth="1"/>
    <col min="12611" max="12611" width="12.5703125" style="13" customWidth="1"/>
    <col min="12612" max="12612" width="10.140625" style="13" customWidth="1"/>
    <col min="12613" max="12613" width="9.28515625" style="13" customWidth="1"/>
    <col min="12614" max="12810" width="9.140625" style="13"/>
    <col min="12811" max="12811" width="5.140625" style="13" customWidth="1"/>
    <col min="12812" max="12812" width="24" style="13" customWidth="1"/>
    <col min="12813" max="12813" width="7.7109375" style="13" customWidth="1"/>
    <col min="12814" max="12814" width="9" style="13" customWidth="1"/>
    <col min="12815" max="12817" width="9.140625" style="13" customWidth="1"/>
    <col min="12818" max="12818" width="10.140625" style="13" customWidth="1"/>
    <col min="12819" max="12819" width="10.7109375" style="13" customWidth="1"/>
    <col min="12820" max="12820" width="10" style="13" customWidth="1"/>
    <col min="12821" max="12821" width="9.28515625" style="13" customWidth="1"/>
    <col min="12822" max="12823" width="10.7109375" style="13" customWidth="1"/>
    <col min="12824" max="12824" width="9.28515625" style="13" customWidth="1"/>
    <col min="12825" max="12829" width="10.7109375" style="13" customWidth="1"/>
    <col min="12830" max="12830" width="10.28515625" style="13" customWidth="1"/>
    <col min="12831" max="12833" width="8.85546875" style="13" customWidth="1"/>
    <col min="12834" max="12835" width="10.140625" style="13" customWidth="1"/>
    <col min="12836" max="12838" width="9.5703125" style="13" customWidth="1"/>
    <col min="12839" max="12839" width="10.140625" style="13" customWidth="1"/>
    <col min="12840" max="12844" width="0" style="13" hidden="1" customWidth="1"/>
    <col min="12845" max="12845" width="10.140625" style="13" customWidth="1"/>
    <col min="12846" max="12848" width="9.5703125" style="13" customWidth="1"/>
    <col min="12849" max="12849" width="10.140625" style="13" customWidth="1"/>
    <col min="12850" max="12861" width="0" style="13" hidden="1" customWidth="1"/>
    <col min="12862" max="12862" width="10.140625" style="13" customWidth="1"/>
    <col min="12863" max="12864" width="9.85546875" style="13" customWidth="1"/>
    <col min="12865" max="12865" width="12.5703125" style="13" customWidth="1"/>
    <col min="12866" max="12866" width="9.85546875" style="13" customWidth="1"/>
    <col min="12867" max="12867" width="12.5703125" style="13" customWidth="1"/>
    <col min="12868" max="12868" width="10.140625" style="13" customWidth="1"/>
    <col min="12869" max="12869" width="9.28515625" style="13" customWidth="1"/>
    <col min="12870" max="13066" width="9.140625" style="13"/>
    <col min="13067" max="13067" width="5.140625" style="13" customWidth="1"/>
    <col min="13068" max="13068" width="24" style="13" customWidth="1"/>
    <col min="13069" max="13069" width="7.7109375" style="13" customWidth="1"/>
    <col min="13070" max="13070" width="9" style="13" customWidth="1"/>
    <col min="13071" max="13073" width="9.140625" style="13" customWidth="1"/>
    <col min="13074" max="13074" width="10.140625" style="13" customWidth="1"/>
    <col min="13075" max="13075" width="10.7109375" style="13" customWidth="1"/>
    <col min="13076" max="13076" width="10" style="13" customWidth="1"/>
    <col min="13077" max="13077" width="9.28515625" style="13" customWidth="1"/>
    <col min="13078" max="13079" width="10.7109375" style="13" customWidth="1"/>
    <col min="13080" max="13080" width="9.28515625" style="13" customWidth="1"/>
    <col min="13081" max="13085" width="10.7109375" style="13" customWidth="1"/>
    <col min="13086" max="13086" width="10.28515625" style="13" customWidth="1"/>
    <col min="13087" max="13089" width="8.85546875" style="13" customWidth="1"/>
    <col min="13090" max="13091" width="10.140625" style="13" customWidth="1"/>
    <col min="13092" max="13094" width="9.5703125" style="13" customWidth="1"/>
    <col min="13095" max="13095" width="10.140625" style="13" customWidth="1"/>
    <col min="13096" max="13100" width="0" style="13" hidden="1" customWidth="1"/>
    <col min="13101" max="13101" width="10.140625" style="13" customWidth="1"/>
    <col min="13102" max="13104" width="9.5703125" style="13" customWidth="1"/>
    <col min="13105" max="13105" width="10.140625" style="13" customWidth="1"/>
    <col min="13106" max="13117" width="0" style="13" hidden="1" customWidth="1"/>
    <col min="13118" max="13118" width="10.140625" style="13" customWidth="1"/>
    <col min="13119" max="13120" width="9.85546875" style="13" customWidth="1"/>
    <col min="13121" max="13121" width="12.5703125" style="13" customWidth="1"/>
    <col min="13122" max="13122" width="9.85546875" style="13" customWidth="1"/>
    <col min="13123" max="13123" width="12.5703125" style="13" customWidth="1"/>
    <col min="13124" max="13124" width="10.140625" style="13" customWidth="1"/>
    <col min="13125" max="13125" width="9.28515625" style="13" customWidth="1"/>
    <col min="13126" max="13322" width="9.140625" style="13"/>
    <col min="13323" max="13323" width="5.140625" style="13" customWidth="1"/>
    <col min="13324" max="13324" width="24" style="13" customWidth="1"/>
    <col min="13325" max="13325" width="7.7109375" style="13" customWidth="1"/>
    <col min="13326" max="13326" width="9" style="13" customWidth="1"/>
    <col min="13327" max="13329" width="9.140625" style="13" customWidth="1"/>
    <col min="13330" max="13330" width="10.140625" style="13" customWidth="1"/>
    <col min="13331" max="13331" width="10.7109375" style="13" customWidth="1"/>
    <col min="13332" max="13332" width="10" style="13" customWidth="1"/>
    <col min="13333" max="13333" width="9.28515625" style="13" customWidth="1"/>
    <col min="13334" max="13335" width="10.7109375" style="13" customWidth="1"/>
    <col min="13336" max="13336" width="9.28515625" style="13" customWidth="1"/>
    <col min="13337" max="13341" width="10.7109375" style="13" customWidth="1"/>
    <col min="13342" max="13342" width="10.28515625" style="13" customWidth="1"/>
    <col min="13343" max="13345" width="8.85546875" style="13" customWidth="1"/>
    <col min="13346" max="13347" width="10.140625" style="13" customWidth="1"/>
    <col min="13348" max="13350" width="9.5703125" style="13" customWidth="1"/>
    <col min="13351" max="13351" width="10.140625" style="13" customWidth="1"/>
    <col min="13352" max="13356" width="0" style="13" hidden="1" customWidth="1"/>
    <col min="13357" max="13357" width="10.140625" style="13" customWidth="1"/>
    <col min="13358" max="13360" width="9.5703125" style="13" customWidth="1"/>
    <col min="13361" max="13361" width="10.140625" style="13" customWidth="1"/>
    <col min="13362" max="13373" width="0" style="13" hidden="1" customWidth="1"/>
    <col min="13374" max="13374" width="10.140625" style="13" customWidth="1"/>
    <col min="13375" max="13376" width="9.85546875" style="13" customWidth="1"/>
    <col min="13377" max="13377" width="12.5703125" style="13" customWidth="1"/>
    <col min="13378" max="13378" width="9.85546875" style="13" customWidth="1"/>
    <col min="13379" max="13379" width="12.5703125" style="13" customWidth="1"/>
    <col min="13380" max="13380" width="10.140625" style="13" customWidth="1"/>
    <col min="13381" max="13381" width="9.28515625" style="13" customWidth="1"/>
    <col min="13382" max="13578" width="9.140625" style="13"/>
    <col min="13579" max="13579" width="5.140625" style="13" customWidth="1"/>
    <col min="13580" max="13580" width="24" style="13" customWidth="1"/>
    <col min="13581" max="13581" width="7.7109375" style="13" customWidth="1"/>
    <col min="13582" max="13582" width="9" style="13" customWidth="1"/>
    <col min="13583" max="13585" width="9.140625" style="13" customWidth="1"/>
    <col min="13586" max="13586" width="10.140625" style="13" customWidth="1"/>
    <col min="13587" max="13587" width="10.7109375" style="13" customWidth="1"/>
    <col min="13588" max="13588" width="10" style="13" customWidth="1"/>
    <col min="13589" max="13589" width="9.28515625" style="13" customWidth="1"/>
    <col min="13590" max="13591" width="10.7109375" style="13" customWidth="1"/>
    <col min="13592" max="13592" width="9.28515625" style="13" customWidth="1"/>
    <col min="13593" max="13597" width="10.7109375" style="13" customWidth="1"/>
    <col min="13598" max="13598" width="10.28515625" style="13" customWidth="1"/>
    <col min="13599" max="13601" width="8.85546875" style="13" customWidth="1"/>
    <col min="13602" max="13603" width="10.140625" style="13" customWidth="1"/>
    <col min="13604" max="13606" width="9.5703125" style="13" customWidth="1"/>
    <col min="13607" max="13607" width="10.140625" style="13" customWidth="1"/>
    <col min="13608" max="13612" width="0" style="13" hidden="1" customWidth="1"/>
    <col min="13613" max="13613" width="10.140625" style="13" customWidth="1"/>
    <col min="13614" max="13616" width="9.5703125" style="13" customWidth="1"/>
    <col min="13617" max="13617" width="10.140625" style="13" customWidth="1"/>
    <col min="13618" max="13629" width="0" style="13" hidden="1" customWidth="1"/>
    <col min="13630" max="13630" width="10.140625" style="13" customWidth="1"/>
    <col min="13631" max="13632" width="9.85546875" style="13" customWidth="1"/>
    <col min="13633" max="13633" width="12.5703125" style="13" customWidth="1"/>
    <col min="13634" max="13634" width="9.85546875" style="13" customWidth="1"/>
    <col min="13635" max="13635" width="12.5703125" style="13" customWidth="1"/>
    <col min="13636" max="13636" width="10.140625" style="13" customWidth="1"/>
    <col min="13637" max="13637" width="9.28515625" style="13" customWidth="1"/>
    <col min="13638" max="13834" width="9.140625" style="13"/>
    <col min="13835" max="13835" width="5.140625" style="13" customWidth="1"/>
    <col min="13836" max="13836" width="24" style="13" customWidth="1"/>
    <col min="13837" max="13837" width="7.7109375" style="13" customWidth="1"/>
    <col min="13838" max="13838" width="9" style="13" customWidth="1"/>
    <col min="13839" max="13841" width="9.140625" style="13" customWidth="1"/>
    <col min="13842" max="13842" width="10.140625" style="13" customWidth="1"/>
    <col min="13843" max="13843" width="10.7109375" style="13" customWidth="1"/>
    <col min="13844" max="13844" width="10" style="13" customWidth="1"/>
    <col min="13845" max="13845" width="9.28515625" style="13" customWidth="1"/>
    <col min="13846" max="13847" width="10.7109375" style="13" customWidth="1"/>
    <col min="13848" max="13848" width="9.28515625" style="13" customWidth="1"/>
    <col min="13849" max="13853" width="10.7109375" style="13" customWidth="1"/>
    <col min="13854" max="13854" width="10.28515625" style="13" customWidth="1"/>
    <col min="13855" max="13857" width="8.85546875" style="13" customWidth="1"/>
    <col min="13858" max="13859" width="10.140625" style="13" customWidth="1"/>
    <col min="13860" max="13862" width="9.5703125" style="13" customWidth="1"/>
    <col min="13863" max="13863" width="10.140625" style="13" customWidth="1"/>
    <col min="13864" max="13868" width="0" style="13" hidden="1" customWidth="1"/>
    <col min="13869" max="13869" width="10.140625" style="13" customWidth="1"/>
    <col min="13870" max="13872" width="9.5703125" style="13" customWidth="1"/>
    <col min="13873" max="13873" width="10.140625" style="13" customWidth="1"/>
    <col min="13874" max="13885" width="0" style="13" hidden="1" customWidth="1"/>
    <col min="13886" max="13886" width="10.140625" style="13" customWidth="1"/>
    <col min="13887" max="13888" width="9.85546875" style="13" customWidth="1"/>
    <col min="13889" max="13889" width="12.5703125" style="13" customWidth="1"/>
    <col min="13890" max="13890" width="9.85546875" style="13" customWidth="1"/>
    <col min="13891" max="13891" width="12.5703125" style="13" customWidth="1"/>
    <col min="13892" max="13892" width="10.140625" style="13" customWidth="1"/>
    <col min="13893" max="13893" width="9.28515625" style="13" customWidth="1"/>
    <col min="13894" max="14090" width="9.140625" style="13"/>
    <col min="14091" max="14091" width="5.140625" style="13" customWidth="1"/>
    <col min="14092" max="14092" width="24" style="13" customWidth="1"/>
    <col min="14093" max="14093" width="7.7109375" style="13" customWidth="1"/>
    <col min="14094" max="14094" width="9" style="13" customWidth="1"/>
    <col min="14095" max="14097" width="9.140625" style="13" customWidth="1"/>
    <col min="14098" max="14098" width="10.140625" style="13" customWidth="1"/>
    <col min="14099" max="14099" width="10.7109375" style="13" customWidth="1"/>
    <col min="14100" max="14100" width="10" style="13" customWidth="1"/>
    <col min="14101" max="14101" width="9.28515625" style="13" customWidth="1"/>
    <col min="14102" max="14103" width="10.7109375" style="13" customWidth="1"/>
    <col min="14104" max="14104" width="9.28515625" style="13" customWidth="1"/>
    <col min="14105" max="14109" width="10.7109375" style="13" customWidth="1"/>
    <col min="14110" max="14110" width="10.28515625" style="13" customWidth="1"/>
    <col min="14111" max="14113" width="8.85546875" style="13" customWidth="1"/>
    <col min="14114" max="14115" width="10.140625" style="13" customWidth="1"/>
    <col min="14116" max="14118" width="9.5703125" style="13" customWidth="1"/>
    <col min="14119" max="14119" width="10.140625" style="13" customWidth="1"/>
    <col min="14120" max="14124" width="0" style="13" hidden="1" customWidth="1"/>
    <col min="14125" max="14125" width="10.140625" style="13" customWidth="1"/>
    <col min="14126" max="14128" width="9.5703125" style="13" customWidth="1"/>
    <col min="14129" max="14129" width="10.140625" style="13" customWidth="1"/>
    <col min="14130" max="14141" width="0" style="13" hidden="1" customWidth="1"/>
    <col min="14142" max="14142" width="10.140625" style="13" customWidth="1"/>
    <col min="14143" max="14144" width="9.85546875" style="13" customWidth="1"/>
    <col min="14145" max="14145" width="12.5703125" style="13" customWidth="1"/>
    <col min="14146" max="14146" width="9.85546875" style="13" customWidth="1"/>
    <col min="14147" max="14147" width="12.5703125" style="13" customWidth="1"/>
    <col min="14148" max="14148" width="10.140625" style="13" customWidth="1"/>
    <col min="14149" max="14149" width="9.28515625" style="13" customWidth="1"/>
    <col min="14150" max="14346" width="9.140625" style="13"/>
    <col min="14347" max="14347" width="5.140625" style="13" customWidth="1"/>
    <col min="14348" max="14348" width="24" style="13" customWidth="1"/>
    <col min="14349" max="14349" width="7.7109375" style="13" customWidth="1"/>
    <col min="14350" max="14350" width="9" style="13" customWidth="1"/>
    <col min="14351" max="14353" width="9.140625" style="13" customWidth="1"/>
    <col min="14354" max="14354" width="10.140625" style="13" customWidth="1"/>
    <col min="14355" max="14355" width="10.7109375" style="13" customWidth="1"/>
    <col min="14356" max="14356" width="10" style="13" customWidth="1"/>
    <col min="14357" max="14357" width="9.28515625" style="13" customWidth="1"/>
    <col min="14358" max="14359" width="10.7109375" style="13" customWidth="1"/>
    <col min="14360" max="14360" width="9.28515625" style="13" customWidth="1"/>
    <col min="14361" max="14365" width="10.7109375" style="13" customWidth="1"/>
    <col min="14366" max="14366" width="10.28515625" style="13" customWidth="1"/>
    <col min="14367" max="14369" width="8.85546875" style="13" customWidth="1"/>
    <col min="14370" max="14371" width="10.140625" style="13" customWidth="1"/>
    <col min="14372" max="14374" width="9.5703125" style="13" customWidth="1"/>
    <col min="14375" max="14375" width="10.140625" style="13" customWidth="1"/>
    <col min="14376" max="14380" width="0" style="13" hidden="1" customWidth="1"/>
    <col min="14381" max="14381" width="10.140625" style="13" customWidth="1"/>
    <col min="14382" max="14384" width="9.5703125" style="13" customWidth="1"/>
    <col min="14385" max="14385" width="10.140625" style="13" customWidth="1"/>
    <col min="14386" max="14397" width="0" style="13" hidden="1" customWidth="1"/>
    <col min="14398" max="14398" width="10.140625" style="13" customWidth="1"/>
    <col min="14399" max="14400" width="9.85546875" style="13" customWidth="1"/>
    <col min="14401" max="14401" width="12.5703125" style="13" customWidth="1"/>
    <col min="14402" max="14402" width="9.85546875" style="13" customWidth="1"/>
    <col min="14403" max="14403" width="12.5703125" style="13" customWidth="1"/>
    <col min="14404" max="14404" width="10.140625" style="13" customWidth="1"/>
    <col min="14405" max="14405" width="9.28515625" style="13" customWidth="1"/>
    <col min="14406" max="14602" width="9.140625" style="13"/>
    <col min="14603" max="14603" width="5.140625" style="13" customWidth="1"/>
    <col min="14604" max="14604" width="24" style="13" customWidth="1"/>
    <col min="14605" max="14605" width="7.7109375" style="13" customWidth="1"/>
    <col min="14606" max="14606" width="9" style="13" customWidth="1"/>
    <col min="14607" max="14609" width="9.140625" style="13" customWidth="1"/>
    <col min="14610" max="14610" width="10.140625" style="13" customWidth="1"/>
    <col min="14611" max="14611" width="10.7109375" style="13" customWidth="1"/>
    <col min="14612" max="14612" width="10" style="13" customWidth="1"/>
    <col min="14613" max="14613" width="9.28515625" style="13" customWidth="1"/>
    <col min="14614" max="14615" width="10.7109375" style="13" customWidth="1"/>
    <col min="14616" max="14616" width="9.28515625" style="13" customWidth="1"/>
    <col min="14617" max="14621" width="10.7109375" style="13" customWidth="1"/>
    <col min="14622" max="14622" width="10.28515625" style="13" customWidth="1"/>
    <col min="14623" max="14625" width="8.85546875" style="13" customWidth="1"/>
    <col min="14626" max="14627" width="10.140625" style="13" customWidth="1"/>
    <col min="14628" max="14630" width="9.5703125" style="13" customWidth="1"/>
    <col min="14631" max="14631" width="10.140625" style="13" customWidth="1"/>
    <col min="14632" max="14636" width="0" style="13" hidden="1" customWidth="1"/>
    <col min="14637" max="14637" width="10.140625" style="13" customWidth="1"/>
    <col min="14638" max="14640" width="9.5703125" style="13" customWidth="1"/>
    <col min="14641" max="14641" width="10.140625" style="13" customWidth="1"/>
    <col min="14642" max="14653" width="0" style="13" hidden="1" customWidth="1"/>
    <col min="14654" max="14654" width="10.140625" style="13" customWidth="1"/>
    <col min="14655" max="14656" width="9.85546875" style="13" customWidth="1"/>
    <col min="14657" max="14657" width="12.5703125" style="13" customWidth="1"/>
    <col min="14658" max="14658" width="9.85546875" style="13" customWidth="1"/>
    <col min="14659" max="14659" width="12.5703125" style="13" customWidth="1"/>
    <col min="14660" max="14660" width="10.140625" style="13" customWidth="1"/>
    <col min="14661" max="14661" width="9.28515625" style="13" customWidth="1"/>
    <col min="14662" max="14858" width="9.140625" style="13"/>
    <col min="14859" max="14859" width="5.140625" style="13" customWidth="1"/>
    <col min="14860" max="14860" width="24" style="13" customWidth="1"/>
    <col min="14861" max="14861" width="7.7109375" style="13" customWidth="1"/>
    <col min="14862" max="14862" width="9" style="13" customWidth="1"/>
    <col min="14863" max="14865" width="9.140625" style="13" customWidth="1"/>
    <col min="14866" max="14866" width="10.140625" style="13" customWidth="1"/>
    <col min="14867" max="14867" width="10.7109375" style="13" customWidth="1"/>
    <col min="14868" max="14868" width="10" style="13" customWidth="1"/>
    <col min="14869" max="14869" width="9.28515625" style="13" customWidth="1"/>
    <col min="14870" max="14871" width="10.7109375" style="13" customWidth="1"/>
    <col min="14872" max="14872" width="9.28515625" style="13" customWidth="1"/>
    <col min="14873" max="14877" width="10.7109375" style="13" customWidth="1"/>
    <col min="14878" max="14878" width="10.28515625" style="13" customWidth="1"/>
    <col min="14879" max="14881" width="8.85546875" style="13" customWidth="1"/>
    <col min="14882" max="14883" width="10.140625" style="13" customWidth="1"/>
    <col min="14884" max="14886" width="9.5703125" style="13" customWidth="1"/>
    <col min="14887" max="14887" width="10.140625" style="13" customWidth="1"/>
    <col min="14888" max="14892" width="0" style="13" hidden="1" customWidth="1"/>
    <col min="14893" max="14893" width="10.140625" style="13" customWidth="1"/>
    <col min="14894" max="14896" width="9.5703125" style="13" customWidth="1"/>
    <col min="14897" max="14897" width="10.140625" style="13" customWidth="1"/>
    <col min="14898" max="14909" width="0" style="13" hidden="1" customWidth="1"/>
    <col min="14910" max="14910" width="10.140625" style="13" customWidth="1"/>
    <col min="14911" max="14912" width="9.85546875" style="13" customWidth="1"/>
    <col min="14913" max="14913" width="12.5703125" style="13" customWidth="1"/>
    <col min="14914" max="14914" width="9.85546875" style="13" customWidth="1"/>
    <col min="14915" max="14915" width="12.5703125" style="13" customWidth="1"/>
    <col min="14916" max="14916" width="10.140625" style="13" customWidth="1"/>
    <col min="14917" max="14917" width="9.28515625" style="13" customWidth="1"/>
    <col min="14918" max="15114" width="9.140625" style="13"/>
    <col min="15115" max="15115" width="5.140625" style="13" customWidth="1"/>
    <col min="15116" max="15116" width="24" style="13" customWidth="1"/>
    <col min="15117" max="15117" width="7.7109375" style="13" customWidth="1"/>
    <col min="15118" max="15118" width="9" style="13" customWidth="1"/>
    <col min="15119" max="15121" width="9.140625" style="13" customWidth="1"/>
    <col min="15122" max="15122" width="10.140625" style="13" customWidth="1"/>
    <col min="15123" max="15123" width="10.7109375" style="13" customWidth="1"/>
    <col min="15124" max="15124" width="10" style="13" customWidth="1"/>
    <col min="15125" max="15125" width="9.28515625" style="13" customWidth="1"/>
    <col min="15126" max="15127" width="10.7109375" style="13" customWidth="1"/>
    <col min="15128" max="15128" width="9.28515625" style="13" customWidth="1"/>
    <col min="15129" max="15133" width="10.7109375" style="13" customWidth="1"/>
    <col min="15134" max="15134" width="10.28515625" style="13" customWidth="1"/>
    <col min="15135" max="15137" width="8.85546875" style="13" customWidth="1"/>
    <col min="15138" max="15139" width="10.140625" style="13" customWidth="1"/>
    <col min="15140" max="15142" width="9.5703125" style="13" customWidth="1"/>
    <col min="15143" max="15143" width="10.140625" style="13" customWidth="1"/>
    <col min="15144" max="15148" width="0" style="13" hidden="1" customWidth="1"/>
    <col min="15149" max="15149" width="10.140625" style="13" customWidth="1"/>
    <col min="15150" max="15152" width="9.5703125" style="13" customWidth="1"/>
    <col min="15153" max="15153" width="10.140625" style="13" customWidth="1"/>
    <col min="15154" max="15165" width="0" style="13" hidden="1" customWidth="1"/>
    <col min="15166" max="15166" width="10.140625" style="13" customWidth="1"/>
    <col min="15167" max="15168" width="9.85546875" style="13" customWidth="1"/>
    <col min="15169" max="15169" width="12.5703125" style="13" customWidth="1"/>
    <col min="15170" max="15170" width="9.85546875" style="13" customWidth="1"/>
    <col min="15171" max="15171" width="12.5703125" style="13" customWidth="1"/>
    <col min="15172" max="15172" width="10.140625" style="13" customWidth="1"/>
    <col min="15173" max="15173" width="9.28515625" style="13" customWidth="1"/>
    <col min="15174" max="15370" width="9.140625" style="13"/>
    <col min="15371" max="15371" width="5.140625" style="13" customWidth="1"/>
    <col min="15372" max="15372" width="24" style="13" customWidth="1"/>
    <col min="15373" max="15373" width="7.7109375" style="13" customWidth="1"/>
    <col min="15374" max="15374" width="9" style="13" customWidth="1"/>
    <col min="15375" max="15377" width="9.140625" style="13" customWidth="1"/>
    <col min="15378" max="15378" width="10.140625" style="13" customWidth="1"/>
    <col min="15379" max="15379" width="10.7109375" style="13" customWidth="1"/>
    <col min="15380" max="15380" width="10" style="13" customWidth="1"/>
    <col min="15381" max="15381" width="9.28515625" style="13" customWidth="1"/>
    <col min="15382" max="15383" width="10.7109375" style="13" customWidth="1"/>
    <col min="15384" max="15384" width="9.28515625" style="13" customWidth="1"/>
    <col min="15385" max="15389" width="10.7109375" style="13" customWidth="1"/>
    <col min="15390" max="15390" width="10.28515625" style="13" customWidth="1"/>
    <col min="15391" max="15393" width="8.85546875" style="13" customWidth="1"/>
    <col min="15394" max="15395" width="10.140625" style="13" customWidth="1"/>
    <col min="15396" max="15398" width="9.5703125" style="13" customWidth="1"/>
    <col min="15399" max="15399" width="10.140625" style="13" customWidth="1"/>
    <col min="15400" max="15404" width="0" style="13" hidden="1" customWidth="1"/>
    <col min="15405" max="15405" width="10.140625" style="13" customWidth="1"/>
    <col min="15406" max="15408" width="9.5703125" style="13" customWidth="1"/>
    <col min="15409" max="15409" width="10.140625" style="13" customWidth="1"/>
    <col min="15410" max="15421" width="0" style="13" hidden="1" customWidth="1"/>
    <col min="15422" max="15422" width="10.140625" style="13" customWidth="1"/>
    <col min="15423" max="15424" width="9.85546875" style="13" customWidth="1"/>
    <col min="15425" max="15425" width="12.5703125" style="13" customWidth="1"/>
    <col min="15426" max="15426" width="9.85546875" style="13" customWidth="1"/>
    <col min="15427" max="15427" width="12.5703125" style="13" customWidth="1"/>
    <col min="15428" max="15428" width="10.140625" style="13" customWidth="1"/>
    <col min="15429" max="15429" width="9.28515625" style="13" customWidth="1"/>
    <col min="15430" max="15626" width="9.140625" style="13"/>
    <col min="15627" max="15627" width="5.140625" style="13" customWidth="1"/>
    <col min="15628" max="15628" width="24" style="13" customWidth="1"/>
    <col min="15629" max="15629" width="7.7109375" style="13" customWidth="1"/>
    <col min="15630" max="15630" width="9" style="13" customWidth="1"/>
    <col min="15631" max="15633" width="9.140625" style="13" customWidth="1"/>
    <col min="15634" max="15634" width="10.140625" style="13" customWidth="1"/>
    <col min="15635" max="15635" width="10.7109375" style="13" customWidth="1"/>
    <col min="15636" max="15636" width="10" style="13" customWidth="1"/>
    <col min="15637" max="15637" width="9.28515625" style="13" customWidth="1"/>
    <col min="15638" max="15639" width="10.7109375" style="13" customWidth="1"/>
    <col min="15640" max="15640" width="9.28515625" style="13" customWidth="1"/>
    <col min="15641" max="15645" width="10.7109375" style="13" customWidth="1"/>
    <col min="15646" max="15646" width="10.28515625" style="13" customWidth="1"/>
    <col min="15647" max="15649" width="8.85546875" style="13" customWidth="1"/>
    <col min="15650" max="15651" width="10.140625" style="13" customWidth="1"/>
    <col min="15652" max="15654" width="9.5703125" style="13" customWidth="1"/>
    <col min="15655" max="15655" width="10.140625" style="13" customWidth="1"/>
    <col min="15656" max="15660" width="0" style="13" hidden="1" customWidth="1"/>
    <col min="15661" max="15661" width="10.140625" style="13" customWidth="1"/>
    <col min="15662" max="15664" width="9.5703125" style="13" customWidth="1"/>
    <col min="15665" max="15665" width="10.140625" style="13" customWidth="1"/>
    <col min="15666" max="15677" width="0" style="13" hidden="1" customWidth="1"/>
    <col min="15678" max="15678" width="10.140625" style="13" customWidth="1"/>
    <col min="15679" max="15680" width="9.85546875" style="13" customWidth="1"/>
    <col min="15681" max="15681" width="12.5703125" style="13" customWidth="1"/>
    <col min="15682" max="15682" width="9.85546875" style="13" customWidth="1"/>
    <col min="15683" max="15683" width="12.5703125" style="13" customWidth="1"/>
    <col min="15684" max="15684" width="10.140625" style="13" customWidth="1"/>
    <col min="15685" max="15685" width="9.28515625" style="13" customWidth="1"/>
    <col min="15686" max="15882" width="9.140625" style="13"/>
    <col min="15883" max="15883" width="5.140625" style="13" customWidth="1"/>
    <col min="15884" max="15884" width="24" style="13" customWidth="1"/>
    <col min="15885" max="15885" width="7.7109375" style="13" customWidth="1"/>
    <col min="15886" max="15886" width="9" style="13" customWidth="1"/>
    <col min="15887" max="15889" width="9.140625" style="13" customWidth="1"/>
    <col min="15890" max="15890" width="10.140625" style="13" customWidth="1"/>
    <col min="15891" max="15891" width="10.7109375" style="13" customWidth="1"/>
    <col min="15892" max="15892" width="10" style="13" customWidth="1"/>
    <col min="15893" max="15893" width="9.28515625" style="13" customWidth="1"/>
    <col min="15894" max="15895" width="10.7109375" style="13" customWidth="1"/>
    <col min="15896" max="15896" width="9.28515625" style="13" customWidth="1"/>
    <col min="15897" max="15901" width="10.7109375" style="13" customWidth="1"/>
    <col min="15902" max="15902" width="10.28515625" style="13" customWidth="1"/>
    <col min="15903" max="15905" width="8.85546875" style="13" customWidth="1"/>
    <col min="15906" max="15907" width="10.140625" style="13" customWidth="1"/>
    <col min="15908" max="15910" width="9.5703125" style="13" customWidth="1"/>
    <col min="15911" max="15911" width="10.140625" style="13" customWidth="1"/>
    <col min="15912" max="15916" width="0" style="13" hidden="1" customWidth="1"/>
    <col min="15917" max="15917" width="10.140625" style="13" customWidth="1"/>
    <col min="15918" max="15920" width="9.5703125" style="13" customWidth="1"/>
    <col min="15921" max="15921" width="10.140625" style="13" customWidth="1"/>
    <col min="15922" max="15933" width="0" style="13" hidden="1" customWidth="1"/>
    <col min="15934" max="15934" width="10.140625" style="13" customWidth="1"/>
    <col min="15935" max="15936" width="9.85546875" style="13" customWidth="1"/>
    <col min="15937" max="15937" width="12.5703125" style="13" customWidth="1"/>
    <col min="15938" max="15938" width="9.85546875" style="13" customWidth="1"/>
    <col min="15939" max="15939" width="12.5703125" style="13" customWidth="1"/>
    <col min="15940" max="15940" width="10.140625" style="13" customWidth="1"/>
    <col min="15941" max="15941" width="9.28515625" style="13" customWidth="1"/>
    <col min="15942" max="16138" width="9.140625" style="13"/>
    <col min="16139" max="16139" width="5.140625" style="13" customWidth="1"/>
    <col min="16140" max="16140" width="24" style="13" customWidth="1"/>
    <col min="16141" max="16141" width="7.7109375" style="13" customWidth="1"/>
    <col min="16142" max="16142" width="9" style="13" customWidth="1"/>
    <col min="16143" max="16145" width="9.140625" style="13" customWidth="1"/>
    <col min="16146" max="16146" width="10.140625" style="13" customWidth="1"/>
    <col min="16147" max="16147" width="10.7109375" style="13" customWidth="1"/>
    <col min="16148" max="16148" width="10" style="13" customWidth="1"/>
    <col min="16149" max="16149" width="9.28515625" style="13" customWidth="1"/>
    <col min="16150" max="16151" width="10.7109375" style="13" customWidth="1"/>
    <col min="16152" max="16152" width="9.28515625" style="13" customWidth="1"/>
    <col min="16153" max="16157" width="10.7109375" style="13" customWidth="1"/>
    <col min="16158" max="16158" width="10.28515625" style="13" customWidth="1"/>
    <col min="16159" max="16161" width="8.85546875" style="13" customWidth="1"/>
    <col min="16162" max="16163" width="10.140625" style="13" customWidth="1"/>
    <col min="16164" max="16166" width="9.5703125" style="13" customWidth="1"/>
    <col min="16167" max="16167" width="10.140625" style="13" customWidth="1"/>
    <col min="16168" max="16172" width="0" style="13" hidden="1" customWidth="1"/>
    <col min="16173" max="16173" width="10.140625" style="13" customWidth="1"/>
    <col min="16174" max="16176" width="9.5703125" style="13" customWidth="1"/>
    <col min="16177" max="16177" width="10.140625" style="13" customWidth="1"/>
    <col min="16178" max="16189" width="0" style="13" hidden="1" customWidth="1"/>
    <col min="16190" max="16190" width="10.140625" style="13" customWidth="1"/>
    <col min="16191" max="16192" width="9.85546875" style="13" customWidth="1"/>
    <col min="16193" max="16193" width="12.5703125" style="13" customWidth="1"/>
    <col min="16194" max="16194" width="9.85546875" style="13" customWidth="1"/>
    <col min="16195" max="16195" width="12.5703125" style="13" customWidth="1"/>
    <col min="16196" max="16196" width="10.140625" style="13" customWidth="1"/>
    <col min="16197" max="16197" width="9.28515625" style="13" customWidth="1"/>
    <col min="16198" max="16384" width="9.140625" style="13"/>
  </cols>
  <sheetData>
    <row r="1" spans="1:72" s="14" customFormat="1" ht="34.5" customHeight="1">
      <c r="A1" s="679" t="s">
        <v>91</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54"/>
      <c r="AH1" s="54"/>
      <c r="AI1" s="54"/>
      <c r="AJ1" s="54"/>
      <c r="AK1" s="54"/>
      <c r="AL1" s="54"/>
      <c r="AM1" s="54"/>
      <c r="AN1" s="54"/>
      <c r="AO1" s="54"/>
      <c r="AP1" s="54"/>
      <c r="AQ1" s="54"/>
      <c r="AR1" s="54"/>
      <c r="AS1" s="54"/>
      <c r="AT1" s="54"/>
      <c r="AU1" s="54"/>
      <c r="AV1" s="54"/>
      <c r="AW1" s="54"/>
      <c r="AX1" s="54"/>
      <c r="AY1" s="55"/>
      <c r="AZ1" s="55"/>
      <c r="BA1" s="55"/>
      <c r="BB1" s="55"/>
      <c r="BC1" s="55"/>
      <c r="BD1" s="55"/>
      <c r="BE1" s="55"/>
      <c r="BF1" s="55"/>
      <c r="BG1" s="55"/>
      <c r="BH1" s="55" t="s">
        <v>0</v>
      </c>
      <c r="BI1" s="55"/>
      <c r="BJ1" s="55"/>
      <c r="BK1" s="55"/>
      <c r="BL1" s="55"/>
      <c r="BM1" s="55"/>
      <c r="BN1" s="55"/>
      <c r="BO1" s="55"/>
      <c r="BP1" s="55"/>
      <c r="BQ1" s="55"/>
      <c r="BR1" s="55"/>
      <c r="BS1" s="55"/>
      <c r="BT1" s="55"/>
    </row>
    <row r="2" spans="1:72" s="14" customFormat="1" ht="32.25" customHeight="1">
      <c r="A2" s="692" t="s">
        <v>1</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56"/>
      <c r="AH2" s="56"/>
      <c r="AI2" s="56"/>
      <c r="AJ2" s="56"/>
      <c r="AK2" s="56"/>
      <c r="AL2" s="56"/>
      <c r="AM2" s="56"/>
      <c r="AN2" s="56"/>
      <c r="AO2" s="56"/>
      <c r="AP2" s="56"/>
      <c r="AQ2" s="56"/>
      <c r="AR2" s="56"/>
      <c r="AS2" s="56"/>
      <c r="AT2" s="56"/>
      <c r="AU2" s="56"/>
      <c r="AV2" s="56"/>
      <c r="AW2" s="56"/>
      <c r="AX2" s="56"/>
      <c r="AY2" s="57"/>
      <c r="AZ2" s="57"/>
      <c r="BA2" s="57"/>
      <c r="BB2" s="57"/>
      <c r="BC2" s="57"/>
      <c r="BD2" s="57"/>
      <c r="BE2" s="57"/>
      <c r="BF2" s="57"/>
      <c r="BG2" s="57"/>
      <c r="BH2" s="57" t="s">
        <v>49</v>
      </c>
      <c r="BI2" s="57"/>
      <c r="BJ2" s="57"/>
      <c r="BK2" s="57"/>
      <c r="BL2" s="57"/>
      <c r="BM2" s="57"/>
      <c r="BN2" s="57"/>
      <c r="BO2" s="57"/>
      <c r="BP2" s="57"/>
      <c r="BQ2" s="57"/>
      <c r="BR2" s="57"/>
      <c r="BS2" s="57"/>
      <c r="BT2" s="57"/>
    </row>
    <row r="3" spans="1:72" s="14" customFormat="1" ht="26.25" customHeight="1">
      <c r="A3" s="693" t="s">
        <v>92</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row>
    <row r="4" spans="1:72" s="14" customFormat="1" ht="33" customHeight="1">
      <c r="A4" s="694" t="s">
        <v>93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694"/>
      <c r="BO4" s="694"/>
      <c r="BP4" s="694"/>
      <c r="BQ4" s="694"/>
    </row>
    <row r="5" spans="1:72" ht="33.75" customHeight="1">
      <c r="A5" s="695" t="s">
        <v>94</v>
      </c>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695"/>
      <c r="BO5" s="695"/>
      <c r="BP5" s="695"/>
      <c r="BQ5" s="695"/>
    </row>
    <row r="6" spans="1:72" ht="35.25" customHeight="1">
      <c r="A6" s="696" t="s">
        <v>95</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96"/>
      <c r="BB6" s="696"/>
      <c r="BC6" s="696"/>
      <c r="BD6" s="696"/>
      <c r="BE6" s="696"/>
      <c r="BF6" s="696"/>
      <c r="BG6" s="696"/>
      <c r="BH6" s="696"/>
      <c r="BI6" s="696"/>
      <c r="BJ6" s="696"/>
      <c r="BK6" s="696"/>
      <c r="BL6" s="696"/>
      <c r="BM6" s="696"/>
      <c r="BN6" s="696"/>
      <c r="BO6" s="696"/>
      <c r="BP6" s="696"/>
      <c r="BQ6" s="696"/>
    </row>
    <row r="7" spans="1:72" s="15" customFormat="1" ht="35.25" customHeight="1">
      <c r="A7" s="697" t="s">
        <v>3</v>
      </c>
      <c r="B7" s="697"/>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7"/>
      <c r="AZ7" s="697"/>
      <c r="BA7" s="697"/>
      <c r="BB7" s="697"/>
      <c r="BC7" s="697"/>
      <c r="BD7" s="697"/>
      <c r="BE7" s="697"/>
      <c r="BF7" s="697"/>
      <c r="BG7" s="697"/>
      <c r="BH7" s="697"/>
      <c r="BI7" s="697"/>
      <c r="BJ7" s="697"/>
      <c r="BK7" s="697"/>
      <c r="BL7" s="697"/>
      <c r="BM7" s="697"/>
      <c r="BN7" s="697"/>
      <c r="BO7" s="697"/>
      <c r="BP7" s="697"/>
      <c r="BQ7" s="697"/>
    </row>
    <row r="8" spans="1:72" s="16" customFormat="1" ht="48.75" customHeight="1">
      <c r="A8" s="698" t="s">
        <v>22</v>
      </c>
      <c r="B8" s="698" t="s">
        <v>51</v>
      </c>
      <c r="C8" s="698" t="s">
        <v>24</v>
      </c>
      <c r="D8" s="698" t="s">
        <v>25</v>
      </c>
      <c r="E8" s="698" t="s">
        <v>26</v>
      </c>
      <c r="F8" s="698" t="s">
        <v>52</v>
      </c>
      <c r="G8" s="698" t="s">
        <v>53</v>
      </c>
      <c r="H8" s="701" t="s">
        <v>54</v>
      </c>
      <c r="I8" s="702"/>
      <c r="J8" s="702"/>
      <c r="K8" s="702"/>
      <c r="L8" s="702"/>
      <c r="M8" s="702"/>
      <c r="N8" s="702"/>
      <c r="O8" s="703"/>
      <c r="P8" s="704" t="s">
        <v>96</v>
      </c>
      <c r="Q8" s="705"/>
      <c r="R8" s="705"/>
      <c r="S8" s="705"/>
      <c r="T8" s="705"/>
      <c r="U8" s="705"/>
      <c r="V8" s="705"/>
      <c r="W8" s="704" t="s">
        <v>97</v>
      </c>
      <c r="X8" s="705"/>
      <c r="Y8" s="705"/>
      <c r="Z8" s="705"/>
      <c r="AA8" s="705"/>
      <c r="AB8" s="705"/>
      <c r="AC8" s="705"/>
      <c r="AD8" s="708" t="s">
        <v>58</v>
      </c>
      <c r="AE8" s="709"/>
      <c r="AF8" s="709"/>
      <c r="AG8" s="709"/>
      <c r="AH8" s="710"/>
      <c r="AI8" s="708" t="s">
        <v>98</v>
      </c>
      <c r="AJ8" s="709"/>
      <c r="AK8" s="709"/>
      <c r="AL8" s="709"/>
      <c r="AM8" s="709"/>
      <c r="AN8" s="709"/>
      <c r="AO8" s="710"/>
      <c r="AP8" s="708" t="s">
        <v>59</v>
      </c>
      <c r="AQ8" s="709"/>
      <c r="AR8" s="709"/>
      <c r="AS8" s="709"/>
      <c r="AT8" s="709"/>
      <c r="AU8" s="709"/>
      <c r="AV8" s="709"/>
      <c r="AW8" s="709"/>
      <c r="AX8" s="710"/>
      <c r="AY8" s="708" t="s">
        <v>28</v>
      </c>
      <c r="AZ8" s="709"/>
      <c r="BA8" s="709"/>
      <c r="BB8" s="709"/>
      <c r="BC8" s="709"/>
      <c r="BD8" s="709"/>
      <c r="BE8" s="709"/>
      <c r="BF8" s="709"/>
      <c r="BG8" s="710"/>
      <c r="BH8" s="708" t="s">
        <v>29</v>
      </c>
      <c r="BI8" s="709"/>
      <c r="BJ8" s="709"/>
      <c r="BK8" s="709"/>
      <c r="BL8" s="709"/>
      <c r="BM8" s="709"/>
      <c r="BN8" s="709"/>
      <c r="BO8" s="709"/>
      <c r="BP8" s="710"/>
      <c r="BQ8" s="704" t="s">
        <v>7</v>
      </c>
    </row>
    <row r="9" spans="1:72" s="16" customFormat="1" ht="29.25" customHeight="1">
      <c r="A9" s="699"/>
      <c r="B9" s="699"/>
      <c r="C9" s="699"/>
      <c r="D9" s="699"/>
      <c r="E9" s="699"/>
      <c r="F9" s="699"/>
      <c r="G9" s="699"/>
      <c r="H9" s="706" t="s">
        <v>60</v>
      </c>
      <c r="I9" s="706" t="s">
        <v>30</v>
      </c>
      <c r="J9" s="706"/>
      <c r="K9" s="706"/>
      <c r="L9" s="706"/>
      <c r="M9" s="706"/>
      <c r="N9" s="706"/>
      <c r="O9" s="706"/>
      <c r="P9" s="705"/>
      <c r="Q9" s="705"/>
      <c r="R9" s="705"/>
      <c r="S9" s="705"/>
      <c r="T9" s="705"/>
      <c r="U9" s="705"/>
      <c r="V9" s="705"/>
      <c r="W9" s="705"/>
      <c r="X9" s="705"/>
      <c r="Y9" s="705"/>
      <c r="Z9" s="705"/>
      <c r="AA9" s="705"/>
      <c r="AB9" s="705"/>
      <c r="AC9" s="705"/>
      <c r="AD9" s="711"/>
      <c r="AE9" s="712"/>
      <c r="AF9" s="712"/>
      <c r="AG9" s="712"/>
      <c r="AH9" s="713"/>
      <c r="AI9" s="711"/>
      <c r="AJ9" s="712"/>
      <c r="AK9" s="712"/>
      <c r="AL9" s="712"/>
      <c r="AM9" s="712"/>
      <c r="AN9" s="712"/>
      <c r="AO9" s="713"/>
      <c r="AP9" s="711"/>
      <c r="AQ9" s="712"/>
      <c r="AR9" s="712"/>
      <c r="AS9" s="712"/>
      <c r="AT9" s="712"/>
      <c r="AU9" s="712"/>
      <c r="AV9" s="712"/>
      <c r="AW9" s="712"/>
      <c r="AX9" s="713"/>
      <c r="AY9" s="711"/>
      <c r="AZ9" s="712"/>
      <c r="BA9" s="712"/>
      <c r="BB9" s="712"/>
      <c r="BC9" s="712"/>
      <c r="BD9" s="712"/>
      <c r="BE9" s="712"/>
      <c r="BF9" s="712"/>
      <c r="BG9" s="713"/>
      <c r="BH9" s="711"/>
      <c r="BI9" s="712"/>
      <c r="BJ9" s="712"/>
      <c r="BK9" s="712"/>
      <c r="BL9" s="712"/>
      <c r="BM9" s="712"/>
      <c r="BN9" s="712"/>
      <c r="BO9" s="712"/>
      <c r="BP9" s="713"/>
      <c r="BQ9" s="704"/>
    </row>
    <row r="10" spans="1:72" s="16" customFormat="1" ht="30.75" customHeight="1">
      <c r="A10" s="699"/>
      <c r="B10" s="699"/>
      <c r="C10" s="699"/>
      <c r="D10" s="699"/>
      <c r="E10" s="699"/>
      <c r="F10" s="699"/>
      <c r="G10" s="699"/>
      <c r="H10" s="706"/>
      <c r="I10" s="706" t="s">
        <v>31</v>
      </c>
      <c r="J10" s="707" t="s">
        <v>15</v>
      </c>
      <c r="K10" s="707"/>
      <c r="L10" s="707"/>
      <c r="M10" s="707"/>
      <c r="N10" s="707"/>
      <c r="O10" s="707"/>
      <c r="P10" s="706" t="s">
        <v>31</v>
      </c>
      <c r="Q10" s="707" t="s">
        <v>15</v>
      </c>
      <c r="R10" s="707"/>
      <c r="S10" s="707"/>
      <c r="T10" s="707"/>
      <c r="U10" s="707"/>
      <c r="V10" s="707"/>
      <c r="W10" s="706" t="s">
        <v>31</v>
      </c>
      <c r="X10" s="707" t="s">
        <v>15</v>
      </c>
      <c r="Y10" s="707"/>
      <c r="Z10" s="707"/>
      <c r="AA10" s="707"/>
      <c r="AB10" s="707"/>
      <c r="AC10" s="707"/>
      <c r="AD10" s="706" t="s">
        <v>31</v>
      </c>
      <c r="AE10" s="707" t="s">
        <v>15</v>
      </c>
      <c r="AF10" s="707"/>
      <c r="AG10" s="707"/>
      <c r="AH10" s="707"/>
      <c r="AI10" s="706" t="s">
        <v>31</v>
      </c>
      <c r="AJ10" s="707" t="s">
        <v>15</v>
      </c>
      <c r="AK10" s="707"/>
      <c r="AL10" s="707"/>
      <c r="AM10" s="707"/>
      <c r="AN10" s="707"/>
      <c r="AO10" s="707"/>
      <c r="AP10" s="706" t="s">
        <v>31</v>
      </c>
      <c r="AQ10" s="707" t="s">
        <v>15</v>
      </c>
      <c r="AR10" s="707"/>
      <c r="AS10" s="707"/>
      <c r="AT10" s="707"/>
      <c r="AU10" s="707"/>
      <c r="AV10" s="707"/>
      <c r="AW10" s="707"/>
      <c r="AX10" s="707"/>
      <c r="AY10" s="706" t="s">
        <v>31</v>
      </c>
      <c r="AZ10" s="707" t="s">
        <v>15</v>
      </c>
      <c r="BA10" s="707"/>
      <c r="BB10" s="707"/>
      <c r="BC10" s="707"/>
      <c r="BD10" s="707"/>
      <c r="BE10" s="707"/>
      <c r="BF10" s="707"/>
      <c r="BG10" s="707"/>
      <c r="BH10" s="706" t="s">
        <v>31</v>
      </c>
      <c r="BI10" s="707" t="s">
        <v>15</v>
      </c>
      <c r="BJ10" s="707"/>
      <c r="BK10" s="707"/>
      <c r="BL10" s="707"/>
      <c r="BM10" s="707"/>
      <c r="BN10" s="707"/>
      <c r="BO10" s="707"/>
      <c r="BP10" s="707"/>
      <c r="BQ10" s="704"/>
    </row>
    <row r="11" spans="1:72" s="16" customFormat="1" ht="40.15" customHeight="1">
      <c r="A11" s="699"/>
      <c r="B11" s="699"/>
      <c r="C11" s="699"/>
      <c r="D11" s="699"/>
      <c r="E11" s="699"/>
      <c r="F11" s="699"/>
      <c r="G11" s="699"/>
      <c r="H11" s="706"/>
      <c r="I11" s="706"/>
      <c r="J11" s="704" t="s">
        <v>61</v>
      </c>
      <c r="K11" s="704"/>
      <c r="L11" s="706" t="s">
        <v>62</v>
      </c>
      <c r="M11" s="706"/>
      <c r="N11" s="706"/>
      <c r="O11" s="706"/>
      <c r="P11" s="706"/>
      <c r="Q11" s="704" t="s">
        <v>63</v>
      </c>
      <c r="R11" s="704"/>
      <c r="S11" s="704"/>
      <c r="T11" s="701" t="s">
        <v>64</v>
      </c>
      <c r="U11" s="702"/>
      <c r="V11" s="703"/>
      <c r="W11" s="706"/>
      <c r="X11" s="704" t="s">
        <v>63</v>
      </c>
      <c r="Y11" s="704"/>
      <c r="Z11" s="704"/>
      <c r="AA11" s="701" t="s">
        <v>64</v>
      </c>
      <c r="AB11" s="702"/>
      <c r="AC11" s="703"/>
      <c r="AD11" s="706"/>
      <c r="AE11" s="704" t="s">
        <v>63</v>
      </c>
      <c r="AF11" s="704"/>
      <c r="AG11" s="704"/>
      <c r="AH11" s="706" t="s">
        <v>64</v>
      </c>
      <c r="AI11" s="706"/>
      <c r="AJ11" s="704" t="s">
        <v>63</v>
      </c>
      <c r="AK11" s="704"/>
      <c r="AL11" s="704"/>
      <c r="AM11" s="701" t="s">
        <v>64</v>
      </c>
      <c r="AN11" s="702"/>
      <c r="AO11" s="703"/>
      <c r="AP11" s="706"/>
      <c r="AQ11" s="714" t="s">
        <v>63</v>
      </c>
      <c r="AR11" s="715"/>
      <c r="AS11" s="715"/>
      <c r="AT11" s="715"/>
      <c r="AU11" s="716"/>
      <c r="AV11" s="701" t="s">
        <v>64</v>
      </c>
      <c r="AW11" s="702"/>
      <c r="AX11" s="703"/>
      <c r="AY11" s="706"/>
      <c r="AZ11" s="714" t="s">
        <v>63</v>
      </c>
      <c r="BA11" s="715"/>
      <c r="BB11" s="715"/>
      <c r="BC11" s="715"/>
      <c r="BD11" s="716"/>
      <c r="BE11" s="701" t="s">
        <v>64</v>
      </c>
      <c r="BF11" s="702"/>
      <c r="BG11" s="703"/>
      <c r="BH11" s="706"/>
      <c r="BI11" s="714" t="s">
        <v>63</v>
      </c>
      <c r="BJ11" s="715"/>
      <c r="BK11" s="715"/>
      <c r="BL11" s="715"/>
      <c r="BM11" s="716"/>
      <c r="BN11" s="701" t="s">
        <v>64</v>
      </c>
      <c r="BO11" s="702"/>
      <c r="BP11" s="703"/>
      <c r="BQ11" s="704"/>
    </row>
    <row r="12" spans="1:72" s="16" customFormat="1" ht="32.25" customHeight="1">
      <c r="A12" s="699"/>
      <c r="B12" s="699"/>
      <c r="C12" s="699"/>
      <c r="D12" s="699"/>
      <c r="E12" s="699"/>
      <c r="F12" s="699"/>
      <c r="G12" s="699"/>
      <c r="H12" s="706"/>
      <c r="I12" s="706"/>
      <c r="J12" s="704"/>
      <c r="K12" s="704"/>
      <c r="L12" s="706"/>
      <c r="M12" s="706"/>
      <c r="N12" s="706"/>
      <c r="O12" s="706"/>
      <c r="P12" s="706"/>
      <c r="Q12" s="706" t="s">
        <v>9</v>
      </c>
      <c r="R12" s="706" t="s">
        <v>65</v>
      </c>
      <c r="S12" s="706"/>
      <c r="T12" s="698" t="s">
        <v>9</v>
      </c>
      <c r="U12" s="714" t="s">
        <v>65</v>
      </c>
      <c r="V12" s="716"/>
      <c r="W12" s="706"/>
      <c r="X12" s="706" t="s">
        <v>9</v>
      </c>
      <c r="Y12" s="706" t="s">
        <v>65</v>
      </c>
      <c r="Z12" s="706"/>
      <c r="AA12" s="698" t="s">
        <v>9</v>
      </c>
      <c r="AB12" s="714" t="s">
        <v>65</v>
      </c>
      <c r="AC12" s="716"/>
      <c r="AD12" s="706"/>
      <c r="AE12" s="706" t="s">
        <v>9</v>
      </c>
      <c r="AF12" s="706" t="s">
        <v>65</v>
      </c>
      <c r="AG12" s="706"/>
      <c r="AH12" s="706"/>
      <c r="AI12" s="706"/>
      <c r="AJ12" s="706" t="s">
        <v>9</v>
      </c>
      <c r="AK12" s="706" t="s">
        <v>65</v>
      </c>
      <c r="AL12" s="706"/>
      <c r="AM12" s="698" t="s">
        <v>9</v>
      </c>
      <c r="AN12" s="714" t="s">
        <v>65</v>
      </c>
      <c r="AO12" s="716"/>
      <c r="AP12" s="706"/>
      <c r="AQ12" s="706" t="s">
        <v>9</v>
      </c>
      <c r="AR12" s="706" t="s">
        <v>65</v>
      </c>
      <c r="AS12" s="706"/>
      <c r="AT12" s="706"/>
      <c r="AU12" s="706"/>
      <c r="AV12" s="698" t="s">
        <v>9</v>
      </c>
      <c r="AW12" s="714" t="s">
        <v>65</v>
      </c>
      <c r="AX12" s="716"/>
      <c r="AY12" s="706"/>
      <c r="AZ12" s="706" t="s">
        <v>9</v>
      </c>
      <c r="BA12" s="706" t="s">
        <v>65</v>
      </c>
      <c r="BB12" s="706"/>
      <c r="BC12" s="706"/>
      <c r="BD12" s="706"/>
      <c r="BE12" s="698" t="s">
        <v>9</v>
      </c>
      <c r="BF12" s="714" t="s">
        <v>65</v>
      </c>
      <c r="BG12" s="716"/>
      <c r="BH12" s="706"/>
      <c r="BI12" s="706" t="s">
        <v>9</v>
      </c>
      <c r="BJ12" s="706" t="s">
        <v>65</v>
      </c>
      <c r="BK12" s="706"/>
      <c r="BL12" s="706"/>
      <c r="BM12" s="706"/>
      <c r="BN12" s="698" t="s">
        <v>9</v>
      </c>
      <c r="BO12" s="714" t="s">
        <v>65</v>
      </c>
      <c r="BP12" s="716"/>
      <c r="BQ12" s="704"/>
    </row>
    <row r="13" spans="1:72" s="16" customFormat="1" ht="30" customHeight="1">
      <c r="A13" s="699"/>
      <c r="B13" s="699"/>
      <c r="C13" s="699"/>
      <c r="D13" s="699"/>
      <c r="E13" s="699"/>
      <c r="F13" s="699"/>
      <c r="G13" s="699"/>
      <c r="H13" s="706"/>
      <c r="I13" s="706"/>
      <c r="J13" s="706" t="s">
        <v>9</v>
      </c>
      <c r="K13" s="706" t="s">
        <v>99</v>
      </c>
      <c r="L13" s="717" t="s">
        <v>66</v>
      </c>
      <c r="M13" s="701" t="s">
        <v>67</v>
      </c>
      <c r="N13" s="702"/>
      <c r="O13" s="703"/>
      <c r="P13" s="706"/>
      <c r="Q13" s="706"/>
      <c r="R13" s="706" t="s">
        <v>68</v>
      </c>
      <c r="S13" s="706" t="s">
        <v>69</v>
      </c>
      <c r="T13" s="699"/>
      <c r="U13" s="717" t="s">
        <v>70</v>
      </c>
      <c r="V13" s="717" t="s">
        <v>71</v>
      </c>
      <c r="W13" s="706"/>
      <c r="X13" s="706"/>
      <c r="Y13" s="706" t="s">
        <v>68</v>
      </c>
      <c r="Z13" s="706" t="s">
        <v>69</v>
      </c>
      <c r="AA13" s="699"/>
      <c r="AB13" s="717" t="s">
        <v>70</v>
      </c>
      <c r="AC13" s="717" t="s">
        <v>71</v>
      </c>
      <c r="AD13" s="706"/>
      <c r="AE13" s="706"/>
      <c r="AF13" s="706" t="s">
        <v>68</v>
      </c>
      <c r="AG13" s="706" t="s">
        <v>69</v>
      </c>
      <c r="AH13" s="706"/>
      <c r="AI13" s="706"/>
      <c r="AJ13" s="706"/>
      <c r="AK13" s="706" t="s">
        <v>99</v>
      </c>
      <c r="AL13" s="706" t="s">
        <v>69</v>
      </c>
      <c r="AM13" s="699"/>
      <c r="AN13" s="717" t="s">
        <v>70</v>
      </c>
      <c r="AO13" s="717" t="s">
        <v>71</v>
      </c>
      <c r="AP13" s="706"/>
      <c r="AQ13" s="706"/>
      <c r="AR13" s="706" t="s">
        <v>68</v>
      </c>
      <c r="AS13" s="706"/>
      <c r="AT13" s="706" t="s">
        <v>69</v>
      </c>
      <c r="AU13" s="706"/>
      <c r="AV13" s="699"/>
      <c r="AW13" s="717" t="s">
        <v>70</v>
      </c>
      <c r="AX13" s="717" t="s">
        <v>71</v>
      </c>
      <c r="AY13" s="706"/>
      <c r="AZ13" s="706"/>
      <c r="BA13" s="706" t="s">
        <v>68</v>
      </c>
      <c r="BB13" s="706"/>
      <c r="BC13" s="706" t="s">
        <v>69</v>
      </c>
      <c r="BD13" s="706"/>
      <c r="BE13" s="699"/>
      <c r="BF13" s="717" t="s">
        <v>70</v>
      </c>
      <c r="BG13" s="717" t="s">
        <v>71</v>
      </c>
      <c r="BH13" s="706"/>
      <c r="BI13" s="706"/>
      <c r="BJ13" s="706" t="s">
        <v>68</v>
      </c>
      <c r="BK13" s="706"/>
      <c r="BL13" s="706" t="s">
        <v>69</v>
      </c>
      <c r="BM13" s="706"/>
      <c r="BN13" s="699"/>
      <c r="BO13" s="717" t="s">
        <v>70</v>
      </c>
      <c r="BP13" s="717" t="s">
        <v>71</v>
      </c>
      <c r="BQ13" s="704"/>
    </row>
    <row r="14" spans="1:72" s="16" customFormat="1" ht="30" customHeight="1">
      <c r="A14" s="699"/>
      <c r="B14" s="699"/>
      <c r="C14" s="699"/>
      <c r="D14" s="699"/>
      <c r="E14" s="699"/>
      <c r="F14" s="699"/>
      <c r="G14" s="699"/>
      <c r="H14" s="706"/>
      <c r="I14" s="706"/>
      <c r="J14" s="706"/>
      <c r="K14" s="706"/>
      <c r="L14" s="718"/>
      <c r="M14" s="717" t="s">
        <v>9</v>
      </c>
      <c r="N14" s="701" t="s">
        <v>14</v>
      </c>
      <c r="O14" s="703"/>
      <c r="P14" s="706"/>
      <c r="Q14" s="706"/>
      <c r="R14" s="706"/>
      <c r="S14" s="706"/>
      <c r="T14" s="699"/>
      <c r="U14" s="718"/>
      <c r="V14" s="718"/>
      <c r="W14" s="706"/>
      <c r="X14" s="706"/>
      <c r="Y14" s="706"/>
      <c r="Z14" s="706"/>
      <c r="AA14" s="699"/>
      <c r="AB14" s="718"/>
      <c r="AC14" s="718"/>
      <c r="AD14" s="706"/>
      <c r="AE14" s="706"/>
      <c r="AF14" s="706"/>
      <c r="AG14" s="706"/>
      <c r="AH14" s="706"/>
      <c r="AI14" s="706"/>
      <c r="AJ14" s="706"/>
      <c r="AK14" s="706"/>
      <c r="AL14" s="706"/>
      <c r="AM14" s="699"/>
      <c r="AN14" s="718"/>
      <c r="AO14" s="718"/>
      <c r="AP14" s="706"/>
      <c r="AQ14" s="706"/>
      <c r="AR14" s="717" t="s">
        <v>9</v>
      </c>
      <c r="AS14" s="720" t="s">
        <v>72</v>
      </c>
      <c r="AT14" s="717" t="s">
        <v>9</v>
      </c>
      <c r="AU14" s="720" t="s">
        <v>72</v>
      </c>
      <c r="AV14" s="699"/>
      <c r="AW14" s="718"/>
      <c r="AX14" s="718"/>
      <c r="AY14" s="706"/>
      <c r="AZ14" s="706"/>
      <c r="BA14" s="717" t="s">
        <v>9</v>
      </c>
      <c r="BB14" s="720" t="s">
        <v>72</v>
      </c>
      <c r="BC14" s="717" t="s">
        <v>9</v>
      </c>
      <c r="BD14" s="720" t="s">
        <v>72</v>
      </c>
      <c r="BE14" s="699"/>
      <c r="BF14" s="718"/>
      <c r="BG14" s="718"/>
      <c r="BH14" s="706"/>
      <c r="BI14" s="706"/>
      <c r="BJ14" s="717" t="s">
        <v>9</v>
      </c>
      <c r="BK14" s="720" t="s">
        <v>72</v>
      </c>
      <c r="BL14" s="717" t="s">
        <v>9</v>
      </c>
      <c r="BM14" s="720" t="s">
        <v>72</v>
      </c>
      <c r="BN14" s="699"/>
      <c r="BO14" s="718"/>
      <c r="BP14" s="718"/>
      <c r="BQ14" s="704"/>
    </row>
    <row r="15" spans="1:72" s="16" customFormat="1" ht="70.5" customHeight="1">
      <c r="A15" s="700"/>
      <c r="B15" s="700"/>
      <c r="C15" s="700"/>
      <c r="D15" s="700"/>
      <c r="E15" s="700"/>
      <c r="F15" s="700"/>
      <c r="G15" s="700"/>
      <c r="H15" s="706"/>
      <c r="I15" s="706"/>
      <c r="J15" s="706"/>
      <c r="K15" s="706"/>
      <c r="L15" s="719"/>
      <c r="M15" s="719"/>
      <c r="N15" s="44" t="s">
        <v>70</v>
      </c>
      <c r="O15" s="44" t="s">
        <v>71</v>
      </c>
      <c r="P15" s="706"/>
      <c r="Q15" s="706"/>
      <c r="R15" s="706"/>
      <c r="S15" s="706"/>
      <c r="T15" s="700"/>
      <c r="U15" s="719"/>
      <c r="V15" s="719"/>
      <c r="W15" s="706"/>
      <c r="X15" s="706"/>
      <c r="Y15" s="706"/>
      <c r="Z15" s="706"/>
      <c r="AA15" s="700"/>
      <c r="AB15" s="719"/>
      <c r="AC15" s="719"/>
      <c r="AD15" s="706"/>
      <c r="AE15" s="706"/>
      <c r="AF15" s="706"/>
      <c r="AG15" s="706"/>
      <c r="AH15" s="706"/>
      <c r="AI15" s="706"/>
      <c r="AJ15" s="706"/>
      <c r="AK15" s="706"/>
      <c r="AL15" s="706"/>
      <c r="AM15" s="700"/>
      <c r="AN15" s="719"/>
      <c r="AO15" s="719"/>
      <c r="AP15" s="706"/>
      <c r="AQ15" s="706"/>
      <c r="AR15" s="719"/>
      <c r="AS15" s="721"/>
      <c r="AT15" s="719"/>
      <c r="AU15" s="721"/>
      <c r="AV15" s="700"/>
      <c r="AW15" s="719"/>
      <c r="AX15" s="719"/>
      <c r="AY15" s="706"/>
      <c r="AZ15" s="706"/>
      <c r="BA15" s="719"/>
      <c r="BB15" s="721"/>
      <c r="BC15" s="719"/>
      <c r="BD15" s="721"/>
      <c r="BE15" s="700"/>
      <c r="BF15" s="719"/>
      <c r="BG15" s="719"/>
      <c r="BH15" s="706"/>
      <c r="BI15" s="706"/>
      <c r="BJ15" s="719"/>
      <c r="BK15" s="721"/>
      <c r="BL15" s="719"/>
      <c r="BM15" s="721"/>
      <c r="BN15" s="700"/>
      <c r="BO15" s="719"/>
      <c r="BP15" s="719"/>
      <c r="BQ15" s="704"/>
    </row>
    <row r="16" spans="1:72" s="19" customFormat="1" ht="30.75" customHeight="1">
      <c r="A16" s="18">
        <v>1</v>
      </c>
      <c r="B16" s="18">
        <f>A16+1</f>
        <v>2</v>
      </c>
      <c r="C16" s="18">
        <f t="shared" ref="C16:BN16" si="0">B16+1</f>
        <v>3</v>
      </c>
      <c r="D16" s="18">
        <f t="shared" si="0"/>
        <v>4</v>
      </c>
      <c r="E16" s="18">
        <f t="shared" si="0"/>
        <v>5</v>
      </c>
      <c r="F16" s="18">
        <f t="shared" si="0"/>
        <v>6</v>
      </c>
      <c r="G16" s="18">
        <f t="shared" si="0"/>
        <v>7</v>
      </c>
      <c r="H16" s="18">
        <f t="shared" si="0"/>
        <v>8</v>
      </c>
      <c r="I16" s="18">
        <f t="shared" si="0"/>
        <v>9</v>
      </c>
      <c r="J16" s="18">
        <f t="shared" si="0"/>
        <v>10</v>
      </c>
      <c r="K16" s="18">
        <f t="shared" si="0"/>
        <v>11</v>
      </c>
      <c r="L16" s="18">
        <f t="shared" si="0"/>
        <v>12</v>
      </c>
      <c r="M16" s="18">
        <f t="shared" si="0"/>
        <v>13</v>
      </c>
      <c r="N16" s="18">
        <f t="shared" si="0"/>
        <v>14</v>
      </c>
      <c r="O16" s="18">
        <f t="shared" si="0"/>
        <v>15</v>
      </c>
      <c r="P16" s="18">
        <f t="shared" si="0"/>
        <v>16</v>
      </c>
      <c r="Q16" s="18">
        <f t="shared" si="0"/>
        <v>17</v>
      </c>
      <c r="R16" s="18">
        <f t="shared" si="0"/>
        <v>18</v>
      </c>
      <c r="S16" s="18">
        <f t="shared" si="0"/>
        <v>19</v>
      </c>
      <c r="T16" s="18">
        <f t="shared" si="0"/>
        <v>20</v>
      </c>
      <c r="U16" s="18">
        <f t="shared" si="0"/>
        <v>21</v>
      </c>
      <c r="V16" s="18">
        <f t="shared" si="0"/>
        <v>22</v>
      </c>
      <c r="W16" s="18">
        <v>16</v>
      </c>
      <c r="X16" s="18">
        <f t="shared" si="0"/>
        <v>17</v>
      </c>
      <c r="Y16" s="18">
        <f t="shared" si="0"/>
        <v>18</v>
      </c>
      <c r="Z16" s="18">
        <f t="shared" si="0"/>
        <v>19</v>
      </c>
      <c r="AA16" s="18">
        <f t="shared" si="0"/>
        <v>20</v>
      </c>
      <c r="AB16" s="18">
        <f t="shared" si="0"/>
        <v>21</v>
      </c>
      <c r="AC16" s="18">
        <f t="shared" si="0"/>
        <v>22</v>
      </c>
      <c r="AD16" s="18">
        <f t="shared" si="0"/>
        <v>23</v>
      </c>
      <c r="AE16" s="18">
        <f t="shared" si="0"/>
        <v>24</v>
      </c>
      <c r="AF16" s="18">
        <f t="shared" si="0"/>
        <v>25</v>
      </c>
      <c r="AG16" s="18">
        <f t="shared" si="0"/>
        <v>26</v>
      </c>
      <c r="AH16" s="18">
        <f t="shared" si="0"/>
        <v>27</v>
      </c>
      <c r="AI16" s="18">
        <v>23</v>
      </c>
      <c r="AJ16" s="18">
        <f t="shared" si="0"/>
        <v>24</v>
      </c>
      <c r="AK16" s="18">
        <f t="shared" si="0"/>
        <v>25</v>
      </c>
      <c r="AL16" s="18">
        <f t="shared" si="0"/>
        <v>26</v>
      </c>
      <c r="AM16" s="18">
        <f t="shared" si="0"/>
        <v>27</v>
      </c>
      <c r="AN16" s="18">
        <f t="shared" si="0"/>
        <v>28</v>
      </c>
      <c r="AO16" s="18">
        <f t="shared" si="0"/>
        <v>29</v>
      </c>
      <c r="AP16" s="18">
        <f t="shared" si="0"/>
        <v>30</v>
      </c>
      <c r="AQ16" s="18">
        <f t="shared" si="0"/>
        <v>31</v>
      </c>
      <c r="AR16" s="18">
        <f t="shared" si="0"/>
        <v>32</v>
      </c>
      <c r="AS16" s="18">
        <f t="shared" si="0"/>
        <v>33</v>
      </c>
      <c r="AT16" s="18">
        <f t="shared" si="0"/>
        <v>34</v>
      </c>
      <c r="AU16" s="18">
        <f t="shared" si="0"/>
        <v>35</v>
      </c>
      <c r="AV16" s="18">
        <f t="shared" si="0"/>
        <v>36</v>
      </c>
      <c r="AW16" s="18">
        <f t="shared" si="0"/>
        <v>37</v>
      </c>
      <c r="AX16" s="18">
        <f t="shared" si="0"/>
        <v>38</v>
      </c>
      <c r="AY16" s="18">
        <f t="shared" si="0"/>
        <v>39</v>
      </c>
      <c r="AZ16" s="18">
        <f t="shared" si="0"/>
        <v>40</v>
      </c>
      <c r="BA16" s="18">
        <f t="shared" si="0"/>
        <v>41</v>
      </c>
      <c r="BB16" s="18">
        <f t="shared" si="0"/>
        <v>42</v>
      </c>
      <c r="BC16" s="18">
        <f t="shared" si="0"/>
        <v>43</v>
      </c>
      <c r="BD16" s="18">
        <f t="shared" si="0"/>
        <v>44</v>
      </c>
      <c r="BE16" s="18">
        <f t="shared" si="0"/>
        <v>45</v>
      </c>
      <c r="BF16" s="18">
        <f t="shared" si="0"/>
        <v>46</v>
      </c>
      <c r="BG16" s="18">
        <f t="shared" si="0"/>
        <v>47</v>
      </c>
      <c r="BH16" s="18">
        <f t="shared" si="0"/>
        <v>48</v>
      </c>
      <c r="BI16" s="18">
        <f t="shared" si="0"/>
        <v>49</v>
      </c>
      <c r="BJ16" s="18">
        <f t="shared" si="0"/>
        <v>50</v>
      </c>
      <c r="BK16" s="18">
        <f t="shared" si="0"/>
        <v>51</v>
      </c>
      <c r="BL16" s="18">
        <f t="shared" si="0"/>
        <v>52</v>
      </c>
      <c r="BM16" s="18">
        <f t="shared" si="0"/>
        <v>53</v>
      </c>
      <c r="BN16" s="18">
        <f t="shared" si="0"/>
        <v>54</v>
      </c>
      <c r="BO16" s="18">
        <f t="shared" ref="BO16:BQ16" si="1">BN16+1</f>
        <v>55</v>
      </c>
      <c r="BP16" s="18">
        <f t="shared" si="1"/>
        <v>56</v>
      </c>
      <c r="BQ16" s="18">
        <f t="shared" si="1"/>
        <v>57</v>
      </c>
    </row>
    <row r="17" spans="1:74" s="19" customFormat="1" ht="36.75" customHeight="1">
      <c r="A17" s="18"/>
      <c r="B17" s="20" t="s">
        <v>13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row>
    <row r="18" spans="1:74" s="46" customFormat="1" ht="106.5" hidden="1" customHeight="1">
      <c r="A18" s="45" t="s">
        <v>73</v>
      </c>
      <c r="B18" s="20" t="s">
        <v>74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74" ht="54.75" customHeight="1">
      <c r="A19" s="21" t="s">
        <v>32</v>
      </c>
      <c r="B19" s="22" t="s">
        <v>75</v>
      </c>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58"/>
      <c r="BS19" s="58"/>
      <c r="BT19" s="58"/>
      <c r="BU19" s="58"/>
      <c r="BV19" s="58"/>
    </row>
    <row r="20" spans="1:74" s="25" customFormat="1" ht="90.75" hidden="1" customHeight="1">
      <c r="A20" s="21">
        <v>1</v>
      </c>
      <c r="B20" s="26" t="s">
        <v>76</v>
      </c>
      <c r="C20" s="23"/>
      <c r="D20" s="23"/>
      <c r="E20" s="23"/>
      <c r="F20" s="23"/>
      <c r="G20" s="23"/>
      <c r="H20" s="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59"/>
      <c r="BS20" s="59"/>
      <c r="BT20" s="59"/>
      <c r="BU20" s="59"/>
      <c r="BV20" s="60"/>
    </row>
    <row r="21" spans="1:74" s="25" customFormat="1" ht="77.650000000000006" customHeight="1">
      <c r="A21" s="27" t="s">
        <v>37</v>
      </c>
      <c r="B21" s="28" t="s">
        <v>34</v>
      </c>
      <c r="C21" s="23"/>
      <c r="D21" s="23"/>
      <c r="E21" s="23"/>
      <c r="F21" s="23"/>
      <c r="G21" s="23"/>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59"/>
      <c r="BS21" s="59"/>
      <c r="BT21" s="59"/>
      <c r="BU21" s="59"/>
      <c r="BV21" s="60"/>
    </row>
    <row r="22" spans="1:74" s="50" customFormat="1" ht="31.5" customHeight="1">
      <c r="A22" s="27" t="s">
        <v>35</v>
      </c>
      <c r="B22" s="28" t="s">
        <v>36</v>
      </c>
      <c r="C22" s="48"/>
      <c r="D22" s="48"/>
      <c r="E22" s="48"/>
      <c r="F22" s="48"/>
      <c r="G22" s="48"/>
      <c r="H22" s="48"/>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61"/>
      <c r="BS22" s="61"/>
      <c r="BT22" s="61"/>
      <c r="BU22" s="61"/>
      <c r="BV22" s="62"/>
    </row>
    <row r="23" spans="1:74" ht="34.15" customHeight="1">
      <c r="A23" s="29" t="s">
        <v>33</v>
      </c>
      <c r="B23" s="30" t="s">
        <v>38</v>
      </c>
      <c r="C23" s="33"/>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8"/>
      <c r="BS23" s="38"/>
      <c r="BT23" s="38"/>
      <c r="BU23" s="38"/>
      <c r="BV23" s="58"/>
    </row>
    <row r="24" spans="1:74" ht="36.75" customHeight="1">
      <c r="A24" s="29" t="s">
        <v>46</v>
      </c>
      <c r="B24" s="30" t="s">
        <v>38</v>
      </c>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8"/>
      <c r="BS24" s="38"/>
      <c r="BT24" s="38"/>
      <c r="BU24" s="38"/>
      <c r="BV24" s="58"/>
    </row>
    <row r="25" spans="1:74" ht="30" customHeight="1">
      <c r="A25" s="29" t="s">
        <v>40</v>
      </c>
      <c r="B25" s="31" t="s">
        <v>41</v>
      </c>
      <c r="C25" s="33"/>
      <c r="D25" s="33"/>
      <c r="E25" s="33"/>
      <c r="F25" s="33"/>
      <c r="G25" s="33"/>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8"/>
      <c r="BS25" s="38"/>
      <c r="BT25" s="38"/>
      <c r="BU25" s="38"/>
      <c r="BV25" s="58"/>
    </row>
    <row r="26" spans="1:74" s="50" customFormat="1" ht="35.25" customHeight="1">
      <c r="A26" s="27" t="s">
        <v>42</v>
      </c>
      <c r="B26" s="28" t="s">
        <v>43</v>
      </c>
      <c r="C26" s="48"/>
      <c r="D26" s="48"/>
      <c r="E26" s="48"/>
      <c r="F26" s="48"/>
      <c r="G26" s="48"/>
      <c r="H26" s="48"/>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61"/>
      <c r="BS26" s="61"/>
      <c r="BT26" s="61"/>
      <c r="BU26" s="61"/>
      <c r="BV26" s="62"/>
    </row>
    <row r="27" spans="1:74" ht="38.65" customHeight="1">
      <c r="A27" s="29" t="s">
        <v>33</v>
      </c>
      <c r="B27" s="30" t="s">
        <v>38</v>
      </c>
      <c r="C27" s="33"/>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8"/>
      <c r="BS27" s="38"/>
      <c r="BT27" s="38"/>
      <c r="BU27" s="38"/>
      <c r="BV27" s="58"/>
    </row>
    <row r="28" spans="1:74" ht="29.25" customHeight="1">
      <c r="A28" s="29" t="s">
        <v>40</v>
      </c>
      <c r="B28" s="31" t="s">
        <v>41</v>
      </c>
      <c r="C28" s="33"/>
      <c r="D28" s="33"/>
      <c r="E28" s="33"/>
      <c r="F28" s="33"/>
      <c r="G28" s="33"/>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8"/>
      <c r="BS28" s="38"/>
      <c r="BT28" s="38"/>
      <c r="BU28" s="38"/>
      <c r="BV28" s="58"/>
    </row>
    <row r="29" spans="1:74" s="50" customFormat="1" ht="39.75" customHeight="1">
      <c r="A29" s="27" t="s">
        <v>44</v>
      </c>
      <c r="B29" s="28" t="s">
        <v>45</v>
      </c>
      <c r="C29" s="48"/>
      <c r="D29" s="48"/>
      <c r="E29" s="48"/>
      <c r="F29" s="48"/>
      <c r="G29" s="48"/>
      <c r="H29" s="48"/>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61"/>
      <c r="BS29" s="61"/>
      <c r="BT29" s="61"/>
      <c r="BU29" s="61"/>
      <c r="BV29" s="62"/>
    </row>
    <row r="30" spans="1:74" ht="36.75" customHeight="1">
      <c r="A30" s="29" t="s">
        <v>33</v>
      </c>
      <c r="B30" s="30" t="s">
        <v>38</v>
      </c>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8"/>
      <c r="BS30" s="38"/>
      <c r="BT30" s="38"/>
      <c r="BU30" s="38"/>
      <c r="BV30" s="58"/>
    </row>
    <row r="31" spans="1:74" ht="31.5" customHeight="1">
      <c r="A31" s="29" t="s">
        <v>40</v>
      </c>
      <c r="B31" s="31" t="s">
        <v>41</v>
      </c>
      <c r="C31" s="33"/>
      <c r="D31" s="33"/>
      <c r="E31" s="33"/>
      <c r="F31" s="33"/>
      <c r="G31" s="33"/>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8"/>
      <c r="BS31" s="38"/>
      <c r="BT31" s="38"/>
      <c r="BU31" s="38"/>
      <c r="BV31" s="58"/>
    </row>
    <row r="32" spans="1:74" s="14" customFormat="1" ht="44.65" customHeight="1">
      <c r="A32" s="27" t="s">
        <v>39</v>
      </c>
      <c r="B32" s="28" t="s">
        <v>47</v>
      </c>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63"/>
      <c r="BS32" s="63"/>
      <c r="BT32" s="63"/>
      <c r="BU32" s="63"/>
      <c r="BV32" s="64"/>
    </row>
    <row r="33" spans="1:74" s="50" customFormat="1" ht="30" customHeight="1">
      <c r="A33" s="27" t="s">
        <v>35</v>
      </c>
      <c r="B33" s="28" t="s">
        <v>36</v>
      </c>
      <c r="C33" s="48"/>
      <c r="D33" s="48"/>
      <c r="E33" s="48"/>
      <c r="F33" s="48"/>
      <c r="G33" s="48"/>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61"/>
      <c r="BS33" s="61"/>
      <c r="BT33" s="61"/>
      <c r="BU33" s="61"/>
      <c r="BV33" s="62"/>
    </row>
    <row r="34" spans="1:74" ht="30" customHeight="1">
      <c r="A34" s="29" t="s">
        <v>33</v>
      </c>
      <c r="B34" s="30" t="s">
        <v>38</v>
      </c>
      <c r="C34" s="33"/>
      <c r="D34" s="33"/>
      <c r="E34" s="33"/>
      <c r="F34" s="33"/>
      <c r="G34" s="33"/>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8"/>
      <c r="BS34" s="38"/>
      <c r="BT34" s="38"/>
      <c r="BU34" s="38"/>
      <c r="BV34" s="58"/>
    </row>
    <row r="35" spans="1:74" ht="30" customHeight="1">
      <c r="A35" s="29" t="s">
        <v>40</v>
      </c>
      <c r="B35" s="31" t="s">
        <v>41</v>
      </c>
      <c r="C35" s="33"/>
      <c r="D35" s="33"/>
      <c r="E35" s="33"/>
      <c r="F35" s="33"/>
      <c r="G35" s="33"/>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8"/>
      <c r="BS35" s="38"/>
      <c r="BT35" s="38"/>
      <c r="BU35" s="38"/>
      <c r="BV35" s="58"/>
    </row>
    <row r="36" spans="1:74" s="50" customFormat="1" ht="30" customHeight="1">
      <c r="A36" s="27" t="s">
        <v>42</v>
      </c>
      <c r="B36" s="28" t="s">
        <v>43</v>
      </c>
      <c r="C36" s="48"/>
      <c r="D36" s="48"/>
      <c r="E36" s="48"/>
      <c r="F36" s="48"/>
      <c r="G36" s="48"/>
      <c r="H36" s="48"/>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61"/>
      <c r="BS36" s="61"/>
      <c r="BT36" s="61"/>
      <c r="BU36" s="61"/>
      <c r="BV36" s="62"/>
    </row>
    <row r="37" spans="1:74" ht="30" customHeight="1">
      <c r="A37" s="29" t="s">
        <v>33</v>
      </c>
      <c r="B37" s="30" t="s">
        <v>38</v>
      </c>
      <c r="C37" s="33"/>
      <c r="D37" s="33"/>
      <c r="E37" s="33"/>
      <c r="F37" s="33"/>
      <c r="G37" s="33"/>
      <c r="H37" s="33"/>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8"/>
      <c r="BS37" s="38"/>
      <c r="BT37" s="38"/>
      <c r="BU37" s="38"/>
      <c r="BV37" s="58"/>
    </row>
    <row r="38" spans="1:74" ht="30" customHeight="1">
      <c r="A38" s="29" t="s">
        <v>40</v>
      </c>
      <c r="B38" s="31" t="s">
        <v>41</v>
      </c>
      <c r="C38" s="33"/>
      <c r="D38" s="33"/>
      <c r="E38" s="33"/>
      <c r="F38" s="33"/>
      <c r="G38" s="33"/>
      <c r="H38" s="33"/>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8"/>
      <c r="BS38" s="38"/>
      <c r="BT38" s="38"/>
      <c r="BU38" s="38"/>
      <c r="BV38" s="58"/>
    </row>
    <row r="39" spans="1:74" s="50" customFormat="1" ht="30" customHeight="1">
      <c r="A39" s="27" t="s">
        <v>44</v>
      </c>
      <c r="B39" s="28" t="s">
        <v>45</v>
      </c>
      <c r="C39" s="48"/>
      <c r="D39" s="48"/>
      <c r="E39" s="48"/>
      <c r="F39" s="48"/>
      <c r="G39" s="48"/>
      <c r="H39" s="48"/>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61"/>
      <c r="BS39" s="61"/>
      <c r="BT39" s="61"/>
      <c r="BU39" s="61"/>
      <c r="BV39" s="62"/>
    </row>
    <row r="40" spans="1:74" ht="30" customHeight="1">
      <c r="A40" s="29" t="s">
        <v>33</v>
      </c>
      <c r="B40" s="30" t="s">
        <v>38</v>
      </c>
      <c r="C40" s="33"/>
      <c r="D40" s="33"/>
      <c r="E40" s="33"/>
      <c r="F40" s="33"/>
      <c r="G40" s="33"/>
      <c r="H40" s="33"/>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8"/>
      <c r="BS40" s="38"/>
      <c r="BT40" s="38"/>
      <c r="BU40" s="38"/>
      <c r="BV40" s="58"/>
    </row>
    <row r="41" spans="1:74" ht="30" customHeight="1">
      <c r="A41" s="29" t="s">
        <v>40</v>
      </c>
      <c r="B41" s="31" t="s">
        <v>41</v>
      </c>
      <c r="C41" s="33"/>
      <c r="D41" s="33"/>
      <c r="E41" s="33"/>
      <c r="F41" s="33"/>
      <c r="G41" s="33"/>
      <c r="H41" s="33"/>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8"/>
      <c r="BS41" s="38"/>
      <c r="BT41" s="38"/>
      <c r="BU41" s="38"/>
      <c r="BV41" s="58"/>
    </row>
    <row r="42" spans="1:74" s="14" customFormat="1" ht="71.25" customHeight="1">
      <c r="A42" s="27" t="s">
        <v>77</v>
      </c>
      <c r="B42" s="28" t="s">
        <v>78</v>
      </c>
      <c r="C42" s="28"/>
      <c r="D42" s="51"/>
      <c r="E42" s="51"/>
      <c r="F42" s="51"/>
      <c r="G42" s="51"/>
      <c r="H42" s="51"/>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63"/>
      <c r="BS42" s="63"/>
      <c r="BT42" s="63"/>
      <c r="BU42" s="63"/>
      <c r="BV42" s="64"/>
    </row>
    <row r="43" spans="1:74" s="50" customFormat="1" ht="30" customHeight="1">
      <c r="A43" s="27" t="s">
        <v>35</v>
      </c>
      <c r="B43" s="28" t="s">
        <v>36</v>
      </c>
      <c r="C43" s="48"/>
      <c r="D43" s="48"/>
      <c r="E43" s="48"/>
      <c r="F43" s="48"/>
      <c r="G43" s="48"/>
      <c r="H43" s="48"/>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61"/>
      <c r="BS43" s="61"/>
      <c r="BT43" s="61"/>
      <c r="BU43" s="61"/>
      <c r="BV43" s="62"/>
    </row>
    <row r="44" spans="1:74" ht="30" customHeight="1">
      <c r="A44" s="29" t="s">
        <v>33</v>
      </c>
      <c r="B44" s="30" t="s">
        <v>38</v>
      </c>
      <c r="C44" s="33"/>
      <c r="D44" s="33"/>
      <c r="E44" s="33"/>
      <c r="F44" s="33"/>
      <c r="G44" s="33"/>
      <c r="H44" s="33"/>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8"/>
      <c r="BS44" s="38"/>
      <c r="BT44" s="38"/>
      <c r="BU44" s="38"/>
      <c r="BV44" s="58"/>
    </row>
    <row r="45" spans="1:74" ht="27.75" customHeight="1">
      <c r="A45" s="29" t="s">
        <v>40</v>
      </c>
      <c r="B45" s="31" t="s">
        <v>41</v>
      </c>
      <c r="C45" s="33"/>
      <c r="D45" s="33"/>
      <c r="E45" s="33"/>
      <c r="F45" s="33"/>
      <c r="G45" s="33"/>
      <c r="H45" s="33"/>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8"/>
      <c r="BS45" s="38"/>
      <c r="BT45" s="38"/>
      <c r="BU45" s="38"/>
      <c r="BV45" s="58"/>
    </row>
    <row r="46" spans="1:74" s="50" customFormat="1" ht="30" customHeight="1">
      <c r="A46" s="27" t="s">
        <v>42</v>
      </c>
      <c r="B46" s="28" t="s">
        <v>43</v>
      </c>
      <c r="C46" s="48"/>
      <c r="D46" s="48"/>
      <c r="E46" s="48"/>
      <c r="F46" s="48"/>
      <c r="G46" s="48"/>
      <c r="H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61"/>
      <c r="BS46" s="61"/>
      <c r="BT46" s="61"/>
      <c r="BU46" s="61"/>
      <c r="BV46" s="62"/>
    </row>
    <row r="47" spans="1:74" ht="30" customHeight="1">
      <c r="A47" s="29" t="s">
        <v>33</v>
      </c>
      <c r="B47" s="30" t="s">
        <v>38</v>
      </c>
      <c r="C47" s="33"/>
      <c r="D47" s="33"/>
      <c r="E47" s="33"/>
      <c r="F47" s="33"/>
      <c r="G47" s="33"/>
      <c r="H47" s="33"/>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8"/>
      <c r="BS47" s="38"/>
      <c r="BT47" s="38"/>
      <c r="BU47" s="38"/>
      <c r="BV47" s="58"/>
    </row>
    <row r="48" spans="1:74" ht="27" customHeight="1">
      <c r="A48" s="29" t="s">
        <v>40</v>
      </c>
      <c r="B48" s="31" t="s">
        <v>41</v>
      </c>
      <c r="C48" s="33"/>
      <c r="D48" s="33"/>
      <c r="E48" s="33"/>
      <c r="F48" s="33"/>
      <c r="G48" s="33"/>
      <c r="H48" s="33"/>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8"/>
      <c r="BS48" s="38"/>
      <c r="BT48" s="38"/>
      <c r="BU48" s="38"/>
      <c r="BV48" s="58"/>
    </row>
    <row r="49" spans="1:74" s="50" customFormat="1" ht="30" customHeight="1">
      <c r="A49" s="27" t="s">
        <v>44</v>
      </c>
      <c r="B49" s="28" t="s">
        <v>45</v>
      </c>
      <c r="C49" s="48"/>
      <c r="D49" s="48"/>
      <c r="E49" s="48"/>
      <c r="F49" s="48"/>
      <c r="G49" s="48"/>
      <c r="H49" s="48"/>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61"/>
      <c r="BS49" s="61"/>
      <c r="BT49" s="61"/>
      <c r="BU49" s="61"/>
      <c r="BV49" s="62"/>
    </row>
    <row r="50" spans="1:74" ht="30" customHeight="1">
      <c r="A50" s="29" t="s">
        <v>33</v>
      </c>
      <c r="B50" s="30" t="s">
        <v>38</v>
      </c>
      <c r="C50" s="33"/>
      <c r="D50" s="33"/>
      <c r="E50" s="33"/>
      <c r="F50" s="33"/>
      <c r="G50" s="33"/>
      <c r="H50" s="33"/>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8"/>
      <c r="BS50" s="38"/>
      <c r="BT50" s="38"/>
      <c r="BU50" s="38"/>
      <c r="BV50" s="58"/>
    </row>
    <row r="51" spans="1:74" ht="30" customHeight="1">
      <c r="A51" s="29" t="s">
        <v>40</v>
      </c>
      <c r="B51" s="31" t="s">
        <v>41</v>
      </c>
      <c r="C51" s="33"/>
      <c r="D51" s="33"/>
      <c r="E51" s="33"/>
      <c r="F51" s="33"/>
      <c r="G51" s="33"/>
      <c r="H51" s="33"/>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8"/>
      <c r="BS51" s="38"/>
      <c r="BT51" s="38"/>
      <c r="BU51" s="38"/>
      <c r="BV51" s="58"/>
    </row>
    <row r="52" spans="1:74" s="50" customFormat="1" ht="57" customHeight="1">
      <c r="A52" s="27" t="s">
        <v>79</v>
      </c>
      <c r="B52" s="28" t="s">
        <v>80</v>
      </c>
      <c r="C52" s="48"/>
      <c r="D52" s="48"/>
      <c r="E52" s="48"/>
      <c r="F52" s="48"/>
      <c r="G52" s="48"/>
      <c r="H52" s="48"/>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61"/>
      <c r="BS52" s="61"/>
      <c r="BT52" s="61"/>
      <c r="BU52" s="61"/>
      <c r="BV52" s="62"/>
    </row>
    <row r="53" spans="1:74" s="50" customFormat="1" ht="36" customHeight="1">
      <c r="A53" s="27" t="s">
        <v>35</v>
      </c>
      <c r="B53" s="28" t="s">
        <v>36</v>
      </c>
      <c r="C53" s="48"/>
      <c r="D53" s="48"/>
      <c r="E53" s="48"/>
      <c r="F53" s="48"/>
      <c r="G53" s="48"/>
      <c r="H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61"/>
      <c r="BS53" s="61"/>
      <c r="BT53" s="61"/>
      <c r="BU53" s="61"/>
      <c r="BV53" s="62"/>
    </row>
    <row r="54" spans="1:74" s="50" customFormat="1" ht="33.75" customHeight="1">
      <c r="A54" s="29" t="s">
        <v>33</v>
      </c>
      <c r="B54" s="30" t="s">
        <v>38</v>
      </c>
      <c r="C54" s="48"/>
      <c r="D54" s="48"/>
      <c r="E54" s="48"/>
      <c r="F54" s="48"/>
      <c r="G54" s="48"/>
      <c r="H54" s="48"/>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1"/>
      <c r="BS54" s="61"/>
      <c r="BT54" s="61"/>
      <c r="BU54" s="61"/>
      <c r="BV54" s="62"/>
    </row>
    <row r="55" spans="1:74" s="50" customFormat="1" ht="34.5" customHeight="1">
      <c r="A55" s="29" t="s">
        <v>40</v>
      </c>
      <c r="B55" s="31" t="s">
        <v>41</v>
      </c>
      <c r="C55" s="48"/>
      <c r="D55" s="48"/>
      <c r="E55" s="48"/>
      <c r="F55" s="48"/>
      <c r="G55" s="48"/>
      <c r="H55" s="48"/>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1"/>
      <c r="BS55" s="61"/>
      <c r="BT55" s="61"/>
      <c r="BU55" s="61"/>
      <c r="BV55" s="62"/>
    </row>
    <row r="56" spans="1:74" s="50" customFormat="1" ht="30.75" customHeight="1">
      <c r="A56" s="27" t="s">
        <v>42</v>
      </c>
      <c r="B56" s="28" t="s">
        <v>43</v>
      </c>
      <c r="C56" s="48"/>
      <c r="D56" s="48"/>
      <c r="E56" s="48"/>
      <c r="F56" s="48"/>
      <c r="G56" s="48"/>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61"/>
      <c r="BS56" s="61"/>
      <c r="BT56" s="61"/>
      <c r="BU56" s="61"/>
      <c r="BV56" s="62"/>
    </row>
    <row r="57" spans="1:74" s="50" customFormat="1" ht="36" customHeight="1">
      <c r="A57" s="29" t="s">
        <v>33</v>
      </c>
      <c r="B57" s="30" t="s">
        <v>38</v>
      </c>
      <c r="C57" s="48"/>
      <c r="D57" s="48"/>
      <c r="E57" s="48"/>
      <c r="F57" s="48"/>
      <c r="G57" s="48"/>
      <c r="H57" s="48"/>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61"/>
      <c r="BS57" s="61"/>
      <c r="BT57" s="61"/>
      <c r="BU57" s="61"/>
      <c r="BV57" s="62"/>
    </row>
    <row r="58" spans="1:74" s="50" customFormat="1" ht="29.25" customHeight="1">
      <c r="A58" s="29" t="s">
        <v>40</v>
      </c>
      <c r="B58" s="31" t="s">
        <v>41</v>
      </c>
      <c r="C58" s="48"/>
      <c r="D58" s="48"/>
      <c r="E58" s="48"/>
      <c r="F58" s="48"/>
      <c r="G58" s="48"/>
      <c r="H58" s="48"/>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61"/>
      <c r="BS58" s="61"/>
      <c r="BT58" s="61"/>
      <c r="BU58" s="61"/>
      <c r="BV58" s="62"/>
    </row>
    <row r="59" spans="1:74" ht="30" customHeight="1">
      <c r="A59" s="27" t="s">
        <v>44</v>
      </c>
      <c r="B59" s="28" t="s">
        <v>45</v>
      </c>
      <c r="C59" s="33"/>
      <c r="D59" s="33"/>
      <c r="E59" s="33"/>
      <c r="F59" s="33"/>
      <c r="G59" s="33"/>
      <c r="H59" s="33"/>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8"/>
      <c r="BS59" s="38"/>
      <c r="BT59" s="38"/>
      <c r="BU59" s="38"/>
      <c r="BV59" s="58"/>
    </row>
    <row r="60" spans="1:74" ht="30" customHeight="1">
      <c r="A60" s="29" t="s">
        <v>33</v>
      </c>
      <c r="B60" s="30" t="s">
        <v>38</v>
      </c>
      <c r="C60" s="33"/>
      <c r="D60" s="33"/>
      <c r="E60" s="33"/>
      <c r="F60" s="33"/>
      <c r="G60" s="33"/>
      <c r="H60" s="33"/>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8"/>
      <c r="BS60" s="38"/>
      <c r="BT60" s="38"/>
      <c r="BU60" s="38"/>
      <c r="BV60" s="58"/>
    </row>
    <row r="61" spans="1:74" ht="30" customHeight="1">
      <c r="A61" s="29" t="s">
        <v>40</v>
      </c>
      <c r="B61" s="31" t="s">
        <v>41</v>
      </c>
      <c r="C61" s="33"/>
      <c r="D61" s="33"/>
      <c r="E61" s="33"/>
      <c r="F61" s="33"/>
      <c r="G61" s="33"/>
      <c r="H61" s="33"/>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8"/>
      <c r="BS61" s="38"/>
      <c r="BT61" s="38"/>
      <c r="BU61" s="38"/>
      <c r="BV61" s="58"/>
    </row>
    <row r="62" spans="1:74" ht="55.9" customHeight="1">
      <c r="A62" s="21" t="s">
        <v>48</v>
      </c>
      <c r="B62" s="22" t="s">
        <v>75</v>
      </c>
      <c r="C62" s="33"/>
      <c r="D62" s="33"/>
      <c r="E62" s="33"/>
      <c r="F62" s="33"/>
      <c r="G62" s="33"/>
      <c r="H62" s="33"/>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58"/>
      <c r="BS62" s="58"/>
      <c r="BT62" s="58"/>
      <c r="BU62" s="58"/>
      <c r="BV62" s="58"/>
    </row>
    <row r="63" spans="1:74" ht="50.25" customHeight="1">
      <c r="A63" s="29" t="s">
        <v>40</v>
      </c>
      <c r="B63" s="26" t="s">
        <v>81</v>
      </c>
      <c r="C63" s="33"/>
      <c r="D63" s="33"/>
      <c r="E63" s="33"/>
      <c r="F63" s="33"/>
      <c r="G63" s="33"/>
      <c r="H63" s="33"/>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row>
    <row r="64" spans="1:74" ht="107.25" hidden="1" customHeight="1">
      <c r="A64" s="21" t="s">
        <v>82</v>
      </c>
      <c r="B64" s="20" t="s">
        <v>83</v>
      </c>
      <c r="C64" s="33"/>
      <c r="D64" s="33"/>
      <c r="E64" s="33"/>
      <c r="F64" s="33"/>
      <c r="G64" s="33"/>
      <c r="H64" s="33"/>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row>
    <row r="65" spans="1:69" s="50" customFormat="1" ht="50.25" hidden="1" customHeight="1">
      <c r="A65" s="27" t="s">
        <v>40</v>
      </c>
      <c r="B65" s="28" t="s">
        <v>84</v>
      </c>
      <c r="C65" s="48"/>
      <c r="D65" s="48"/>
      <c r="E65" s="48"/>
      <c r="F65" s="48"/>
      <c r="G65" s="48"/>
      <c r="H65" s="48"/>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1:69" s="46" customFormat="1" ht="106.5" hidden="1" customHeight="1">
      <c r="A66" s="45" t="s">
        <v>85</v>
      </c>
      <c r="B66" s="20" t="s">
        <v>86</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s="50" customFormat="1" ht="50.25" hidden="1" customHeight="1">
      <c r="A67" s="27" t="s">
        <v>40</v>
      </c>
      <c r="B67" s="28" t="s">
        <v>84</v>
      </c>
      <c r="C67" s="48"/>
      <c r="D67" s="48"/>
      <c r="E67" s="48"/>
      <c r="F67" s="48"/>
      <c r="G67" s="48"/>
      <c r="H67" s="48"/>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1:69" s="46" customFormat="1" ht="106.5" hidden="1" customHeight="1">
      <c r="A68" s="45" t="s">
        <v>87</v>
      </c>
      <c r="B68" s="20" t="s">
        <v>74</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s="46" customFormat="1" ht="29.25" customHeight="1">
      <c r="A69" s="45"/>
      <c r="B69" s="20"/>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s="14" customFormat="1" ht="30.75" customHeight="1">
      <c r="A70" s="65"/>
      <c r="B70" s="66" t="s">
        <v>88</v>
      </c>
      <c r="C70" s="67"/>
      <c r="D70" s="67"/>
      <c r="E70" s="67"/>
      <c r="F70" s="67"/>
      <c r="G70" s="67"/>
      <c r="H70" s="67"/>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row>
    <row r="71" spans="1:69" s="14" customFormat="1" ht="30.6" customHeight="1">
      <c r="A71" s="68"/>
      <c r="B71" s="723" t="s">
        <v>100</v>
      </c>
      <c r="C71" s="723"/>
      <c r="D71" s="723"/>
      <c r="E71" s="723"/>
      <c r="F71" s="723"/>
      <c r="G71" s="723"/>
      <c r="H71" s="723"/>
      <c r="I71" s="723"/>
      <c r="J71" s="723"/>
      <c r="K71" s="723"/>
      <c r="L71" s="723"/>
      <c r="M71" s="723"/>
      <c r="N71" s="723"/>
      <c r="O71" s="723"/>
      <c r="P71" s="723"/>
      <c r="Q71" s="723"/>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723"/>
      <c r="BI71" s="723"/>
      <c r="BJ71" s="723"/>
      <c r="BK71" s="723"/>
      <c r="BL71" s="723"/>
      <c r="BM71" s="723"/>
      <c r="BN71" s="723"/>
      <c r="BO71" s="723"/>
      <c r="BP71" s="723"/>
      <c r="BQ71" s="723"/>
    </row>
    <row r="72" spans="1:69" s="14" customFormat="1" ht="44.45" customHeight="1">
      <c r="A72" s="68"/>
      <c r="B72" s="724" t="s">
        <v>101</v>
      </c>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5"/>
      <c r="AY72" s="725"/>
      <c r="AZ72" s="725"/>
      <c r="BA72" s="725"/>
      <c r="BB72" s="725"/>
      <c r="BC72" s="725"/>
      <c r="BD72" s="725"/>
      <c r="BE72" s="725"/>
      <c r="BF72" s="725"/>
      <c r="BG72" s="725"/>
      <c r="BH72" s="725"/>
      <c r="BI72" s="725"/>
      <c r="BJ72" s="725"/>
      <c r="BK72" s="725"/>
      <c r="BL72" s="725"/>
      <c r="BM72" s="725"/>
      <c r="BN72" s="725"/>
      <c r="BO72" s="725"/>
      <c r="BP72" s="725"/>
      <c r="BQ72" s="725"/>
    </row>
    <row r="73" spans="1:69">
      <c r="A73" s="13"/>
      <c r="B73" s="42" t="s">
        <v>89</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13"/>
      <c r="BB73" s="13"/>
      <c r="BC73" s="13"/>
      <c r="BD73" s="13"/>
      <c r="BE73" s="13"/>
      <c r="BF73" s="13"/>
      <c r="BG73" s="13"/>
      <c r="BH73" s="53"/>
      <c r="BI73" s="53"/>
      <c r="BJ73" s="13"/>
      <c r="BK73" s="13"/>
      <c r="BL73" s="13"/>
      <c r="BM73" s="13"/>
      <c r="BN73" s="13"/>
      <c r="BO73" s="13"/>
      <c r="BP73" s="13"/>
      <c r="BQ73" s="13"/>
    </row>
    <row r="74" spans="1:69">
      <c r="A74" s="13"/>
      <c r="B74" s="722" t="s">
        <v>90</v>
      </c>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c r="BB74" s="722"/>
      <c r="BC74" s="722"/>
      <c r="BD74" s="722"/>
      <c r="BE74" s="722"/>
      <c r="BF74" s="722"/>
      <c r="BG74" s="722"/>
      <c r="BH74" s="722"/>
      <c r="BI74" s="722"/>
      <c r="BJ74" s="13"/>
      <c r="BK74" s="13"/>
      <c r="BL74" s="13"/>
      <c r="BM74" s="13"/>
      <c r="BN74" s="13"/>
      <c r="BO74" s="13"/>
      <c r="BP74" s="13"/>
      <c r="BQ74" s="13"/>
    </row>
    <row r="75" spans="1:6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row>
    <row r="76" spans="1:6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7" spans="1:6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pans="1:69">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row>
    <row r="82" spans="1:69">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row>
    <row r="83" spans="1:69">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row>
    <row r="84" spans="1:69">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row>
    <row r="85" spans="1:69">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row>
    <row r="86" spans="1:69">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row>
    <row r="87" spans="1:69">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row>
    <row r="88" spans="1:69">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row>
    <row r="89" spans="1:6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row>
    <row r="90" spans="1:69">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row>
    <row r="91" spans="1:69">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row>
    <row r="92" spans="1:69">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row>
    <row r="93" spans="1:69">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row>
    <row r="94" spans="1:69">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row>
    <row r="95" spans="1:69">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row>
    <row r="96" spans="1:69">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row>
    <row r="97" spans="1:69">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row>
    <row r="98" spans="1:69">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row>
    <row r="99" spans="1:6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row>
    <row r="100" spans="1:69">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row>
    <row r="101" spans="1:69">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row>
    <row r="102" spans="1:69">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row>
    <row r="103" spans="1:69">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row>
    <row r="104" spans="1:69">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row>
    <row r="105" spans="1:69">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row>
    <row r="106" spans="1:69">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row>
    <row r="107" spans="1:69">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row>
    <row r="108" spans="1:69">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row>
    <row r="109" spans="1:6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row>
    <row r="110" spans="1:69">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row>
    <row r="111" spans="1:69">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row>
    <row r="112" spans="1:69">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row>
    <row r="113" spans="1:69">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row>
    <row r="114" spans="1:69">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row>
    <row r="115" spans="1:69">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row>
    <row r="116" spans="1:69">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row>
    <row r="117" spans="1:69">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row>
    <row r="118" spans="1:69">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row>
    <row r="119" spans="1:6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row>
    <row r="120" spans="1:69">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row>
    <row r="121" spans="1:69">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row>
    <row r="122" spans="1:69">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row>
    <row r="123" spans="1:69">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row>
    <row r="124" spans="1:69">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row>
    <row r="125" spans="1:69">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row>
    <row r="126" spans="1:69">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row>
    <row r="127" spans="1:69">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row>
    <row r="128" spans="1:69">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row>
    <row r="129" spans="1:6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row>
    <row r="130" spans="1:69">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row>
    <row r="131" spans="1:69">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row>
    <row r="132" spans="1:69">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row>
    <row r="133" spans="1:69">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row>
    <row r="134" spans="1:69">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row>
    <row r="135" spans="1:69">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row>
    <row r="136" spans="1:69">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row>
    <row r="137" spans="1:69">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row>
    <row r="138" spans="1:69">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row>
    <row r="139" spans="1:6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row>
    <row r="140" spans="1:69">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row>
    <row r="141" spans="1:69">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row>
    <row r="142" spans="1:69">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row>
    <row r="143" spans="1:69">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row>
    <row r="144" spans="1:69">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row>
    <row r="145" spans="1:69">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row>
    <row r="146" spans="1:69">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row>
    <row r="147" spans="1:69">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row>
    <row r="148" spans="1:69">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row>
    <row r="149" spans="1:6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row>
    <row r="150" spans="1:69">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row>
    <row r="151" spans="1:69">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row>
    <row r="152" spans="1:69">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row>
    <row r="153" spans="1:69">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row>
    <row r="154" spans="1:69">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row>
    <row r="155" spans="1:69">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row>
    <row r="156" spans="1:69">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row>
    <row r="157" spans="1:69">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row>
    <row r="158" spans="1:69">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row>
    <row r="159" spans="1:6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row>
    <row r="160" spans="1:69">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row>
    <row r="161" spans="1:69">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row>
    <row r="162" spans="1:69">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row>
    <row r="163" spans="1:69">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row>
    <row r="164" spans="1:69">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row>
    <row r="165" spans="1:69">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row>
    <row r="166" spans="1:69">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row>
    <row r="167" spans="1:69">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row>
    <row r="168" spans="1:69">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row>
    <row r="169" spans="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row>
    <row r="170" spans="1:69">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row>
    <row r="171" spans="1:69">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row>
    <row r="172" spans="1:69">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row>
    <row r="173" spans="1:69">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row>
    <row r="174" spans="1:69">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row>
    <row r="175" spans="1:69">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row>
    <row r="176" spans="1:69">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row>
    <row r="177" spans="1:69">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row>
    <row r="178" spans="1:69">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row>
    <row r="179" spans="1:6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row>
    <row r="180" spans="1:69">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row>
    <row r="181" spans="1:69">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row>
    <row r="182" spans="1:69">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row>
    <row r="183" spans="1:69">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row>
    <row r="184" spans="1:69">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row>
    <row r="185" spans="1:69">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row>
    <row r="186" spans="1:69">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row>
    <row r="187" spans="1:69">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row>
    <row r="188" spans="1:69">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row>
    <row r="189" spans="1:6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row>
    <row r="190" spans="1:69">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row>
    <row r="191" spans="1:69">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row>
    <row r="192" spans="1:69">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row>
    <row r="193" spans="1:69">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row>
    <row r="194" spans="1:69">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row>
    <row r="195" spans="1:69">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row>
    <row r="196" spans="1:69">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row>
    <row r="197" spans="1:69">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row>
    <row r="198" spans="1:69">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row>
    <row r="199" spans="1:6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row>
    <row r="200" spans="1:69">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row>
    <row r="201" spans="1:69">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row>
    <row r="202" spans="1:69">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row>
    <row r="203" spans="1:69">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row>
    <row r="204" spans="1:69">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row>
    <row r="205" spans="1:69">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row>
    <row r="206" spans="1:69">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row>
    <row r="207" spans="1:69">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row>
    <row r="208" spans="1:69">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row>
    <row r="209" spans="1:6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row>
    <row r="210" spans="1:69">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row>
    <row r="211" spans="1:69">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row>
    <row r="212" spans="1:69">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row>
    <row r="213" spans="1:69">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row>
    <row r="214" spans="1:69">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row>
    <row r="215" spans="1:69">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row>
    <row r="216" spans="1:69">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row>
    <row r="217" spans="1:69">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row>
    <row r="218" spans="1:69">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row>
    <row r="219" spans="1:6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row>
    <row r="220" spans="1:69">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row>
    <row r="221" spans="1:69">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row>
    <row r="222" spans="1:69">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row>
    <row r="223" spans="1:69">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row>
    <row r="224" spans="1:69">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row>
    <row r="225" spans="1:69">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row>
    <row r="226" spans="1:69">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row>
    <row r="227" spans="1:69">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row>
    <row r="228" spans="1:69">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row>
    <row r="229" spans="1:6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row>
    <row r="230" spans="1:69">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row>
    <row r="231" spans="1:69">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row>
    <row r="232" spans="1:69">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row>
    <row r="233" spans="1:69">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row>
    <row r="234" spans="1:69">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row>
    <row r="235" spans="1:69">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row>
    <row r="236" spans="1:69">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row>
    <row r="237" spans="1:69">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row>
    <row r="238" spans="1:69">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row>
    <row r="239" spans="1:6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row>
    <row r="240" spans="1:69">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row>
    <row r="241" spans="1:69">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row>
    <row r="242" spans="1:69">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row>
    <row r="243" spans="1:69">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row>
    <row r="244" spans="1:69">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row>
    <row r="245" spans="1:69">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row>
    <row r="246" spans="1:69">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row>
    <row r="247" spans="1:69">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row>
    <row r="248" spans="1:69">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row>
    <row r="249" spans="1:6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row>
    <row r="250" spans="1:69">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row>
    <row r="251" spans="1:69">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row>
    <row r="252" spans="1:69">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row>
    <row r="253" spans="1:69">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row>
    <row r="254" spans="1:69">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row>
    <row r="255" spans="1:69">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row>
    <row r="256" spans="1:69">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row>
    <row r="257" spans="1:69">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row>
    <row r="258" spans="1:69">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row>
    <row r="259" spans="1:6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row>
    <row r="260" spans="1:69">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row>
    <row r="261" spans="1:69">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row>
    <row r="262" spans="1:69">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row>
    <row r="263" spans="1:69">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row>
    <row r="264" spans="1:69">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row>
    <row r="265" spans="1:69">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row>
    <row r="266" spans="1:69">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row>
    <row r="267" spans="1:69">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row>
    <row r="268" spans="1:69">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row>
    <row r="269" spans="1: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row>
    <row r="270" spans="1:69">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row>
    <row r="271" spans="1:69">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row>
    <row r="272" spans="1:69">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row>
    <row r="273" spans="1:69">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row>
    <row r="274" spans="1:69">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row>
    <row r="275" spans="1:69">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row>
    <row r="276" spans="1:69">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row>
    <row r="277" spans="1:69">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row>
    <row r="278" spans="1:69">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row>
    <row r="279" spans="1:6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row>
    <row r="280" spans="1:69">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row>
    <row r="281" spans="1:69">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row>
    <row r="282" spans="1:69">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row>
    <row r="283" spans="1:69">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row>
    <row r="284" spans="1:69">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row>
    <row r="285" spans="1:69">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row>
    <row r="286" spans="1:69">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row>
    <row r="287" spans="1:69">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row>
    <row r="288" spans="1:69">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row>
    <row r="289" spans="1:6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row>
    <row r="290" spans="1:69">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row>
    <row r="291" spans="1:69">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row>
    <row r="292" spans="1:69">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row>
    <row r="293" spans="1:69">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row>
    <row r="294" spans="1:69">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row>
    <row r="295" spans="1:69">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row>
    <row r="296" spans="1:69">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row>
    <row r="297" spans="1:69">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row>
    <row r="298" spans="1:69">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row>
    <row r="299" spans="1:6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row>
    <row r="300" spans="1:69">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row>
    <row r="301" spans="1:69">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row>
    <row r="302" spans="1:69">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row>
    <row r="303" spans="1:69">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row>
    <row r="304" spans="1:69">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row>
    <row r="305" spans="1:69">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row>
    <row r="306" spans="1:69">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row>
    <row r="307" spans="1:69">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row>
    <row r="308" spans="1:69">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row>
    <row r="309" spans="1:6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row>
    <row r="310" spans="1:69">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row>
    <row r="311" spans="1:69">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row>
    <row r="312" spans="1:69">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row>
    <row r="313" spans="1:69">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row>
    <row r="314" spans="1:69">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row>
    <row r="315" spans="1:69">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row>
    <row r="316" spans="1:69">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row>
    <row r="317" spans="1:69">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row>
    <row r="318" spans="1:69">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row>
    <row r="319" spans="1:6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row>
    <row r="320" spans="1:69">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row>
    <row r="321" spans="1:69">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row>
    <row r="322" spans="1:69">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row>
    <row r="323" spans="1:69">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row>
    <row r="324" spans="1:69">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row>
    <row r="325" spans="1:69">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row>
    <row r="326" spans="1:69">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row>
    <row r="327" spans="1:69">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row>
    <row r="328" spans="1:69">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row>
    <row r="329" spans="1:6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row>
    <row r="330" spans="1:69">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row>
    <row r="331" spans="1:69">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row>
    <row r="332" spans="1:69">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row>
    <row r="333" spans="1:69">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row>
    <row r="334" spans="1:69">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row>
    <row r="335" spans="1:69">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row>
    <row r="336" spans="1:69">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row>
    <row r="337" spans="1:69">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row>
    <row r="338" spans="1:69">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row>
    <row r="339" spans="1:6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row>
    <row r="340" spans="1:69">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row>
    <row r="341" spans="1:69">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row>
    <row r="342" spans="1:69">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row>
    <row r="343" spans="1:69">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row>
    <row r="344" spans="1:69">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row>
    <row r="345" spans="1:69">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row>
    <row r="346" spans="1:69">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row>
    <row r="347" spans="1:69">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row>
    <row r="348" spans="1:69">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row>
    <row r="349" spans="1:6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row>
    <row r="350" spans="1:69">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row>
    <row r="351" spans="1:69">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row>
    <row r="352" spans="1:69">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row>
    <row r="353" spans="1:69">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row>
    <row r="354" spans="1:69">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row>
    <row r="355" spans="1:69">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row>
    <row r="356" spans="1:69">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row>
    <row r="357" spans="1:69">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row>
    <row r="358" spans="1:69">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row>
    <row r="359" spans="1:6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row>
    <row r="360" spans="1:69">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row>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7" customWidth="1"/>
    <col min="2" max="2" width="41" style="77" customWidth="1"/>
    <col min="3" max="4" width="11.28515625" style="1" customWidth="1"/>
    <col min="5" max="5" width="13" style="1" customWidth="1"/>
    <col min="6" max="7" width="11.28515625" style="1" customWidth="1"/>
    <col min="8" max="8" width="13" style="1" customWidth="1"/>
    <col min="9" max="10" width="11.28515625" style="1" customWidth="1"/>
    <col min="11" max="11" width="13" style="1" customWidth="1"/>
    <col min="12" max="13" width="11.28515625" style="1" customWidth="1"/>
    <col min="14" max="14" width="13" style="1" customWidth="1"/>
    <col min="15" max="16" width="11.28515625" style="1" customWidth="1"/>
    <col min="17" max="17" width="13" style="1" customWidth="1"/>
    <col min="18" max="19" width="11.28515625" style="1" customWidth="1"/>
    <col min="20" max="20" width="13" style="1" customWidth="1"/>
    <col min="21" max="21" width="11.28515625" style="1" customWidth="1"/>
    <col min="22" max="16384" width="9.140625" style="1"/>
  </cols>
  <sheetData>
    <row r="1" spans="1:26" ht="33" customHeight="1">
      <c r="A1" s="679" t="s">
        <v>102</v>
      </c>
      <c r="B1" s="679"/>
      <c r="C1" s="679"/>
      <c r="D1" s="679"/>
      <c r="E1" s="679"/>
      <c r="F1" s="679"/>
      <c r="G1" s="679"/>
      <c r="H1" s="679"/>
      <c r="I1" s="13"/>
      <c r="J1" s="13"/>
      <c r="K1" s="13"/>
      <c r="L1" s="13"/>
      <c r="M1" s="727" t="s">
        <v>0</v>
      </c>
      <c r="N1" s="727"/>
      <c r="O1" s="727"/>
      <c r="P1" s="727"/>
      <c r="Q1" s="727"/>
      <c r="R1" s="727"/>
      <c r="S1" s="727"/>
      <c r="T1" s="727"/>
      <c r="U1" s="727"/>
      <c r="V1" s="2"/>
    </row>
    <row r="2" spans="1:26" ht="31.5" customHeight="1">
      <c r="A2" s="692" t="s">
        <v>1</v>
      </c>
      <c r="B2" s="692"/>
      <c r="C2" s="692"/>
      <c r="D2" s="692"/>
      <c r="E2" s="692"/>
      <c r="F2" s="692"/>
      <c r="G2" s="692"/>
      <c r="H2" s="692"/>
      <c r="I2" s="13"/>
      <c r="J2" s="13"/>
      <c r="K2" s="13"/>
      <c r="L2" s="13"/>
      <c r="M2" s="728" t="s">
        <v>49</v>
      </c>
      <c r="N2" s="728"/>
      <c r="O2" s="728"/>
      <c r="P2" s="728"/>
      <c r="Q2" s="728"/>
      <c r="R2" s="728"/>
      <c r="S2" s="728"/>
      <c r="T2" s="728"/>
      <c r="U2" s="728"/>
      <c r="V2" s="4"/>
    </row>
    <row r="3" spans="1:26" s="69" customFormat="1" ht="27.75" customHeight="1">
      <c r="A3" s="729" t="s">
        <v>50</v>
      </c>
      <c r="B3" s="729"/>
      <c r="C3" s="729"/>
      <c r="D3" s="729"/>
      <c r="E3" s="729"/>
      <c r="F3" s="729"/>
      <c r="G3" s="729"/>
      <c r="H3" s="729"/>
      <c r="I3" s="729"/>
      <c r="J3" s="729"/>
      <c r="K3" s="729"/>
      <c r="L3" s="729"/>
      <c r="M3" s="729"/>
      <c r="N3" s="729"/>
      <c r="O3" s="729"/>
      <c r="P3" s="729"/>
      <c r="Q3" s="729"/>
      <c r="R3" s="729"/>
      <c r="S3" s="729"/>
      <c r="T3" s="729"/>
      <c r="U3" s="729"/>
    </row>
    <row r="4" spans="1:26" s="70" customFormat="1" ht="31.9" customHeight="1">
      <c r="A4" s="726" t="s">
        <v>103</v>
      </c>
      <c r="B4" s="726"/>
      <c r="C4" s="726"/>
      <c r="D4" s="726"/>
      <c r="E4" s="726"/>
      <c r="F4" s="726"/>
      <c r="G4" s="726"/>
      <c r="H4" s="726"/>
      <c r="I4" s="726"/>
      <c r="J4" s="726"/>
      <c r="K4" s="726"/>
      <c r="L4" s="726"/>
      <c r="M4" s="726"/>
      <c r="N4" s="726"/>
      <c r="O4" s="726"/>
      <c r="P4" s="726"/>
      <c r="Q4" s="726"/>
      <c r="R4" s="726"/>
      <c r="S4" s="726"/>
      <c r="T4" s="726"/>
      <c r="U4" s="726"/>
    </row>
    <row r="5" spans="1:26" s="69" customFormat="1" ht="24.75" customHeight="1">
      <c r="A5" s="730" t="s">
        <v>3</v>
      </c>
      <c r="B5" s="730"/>
      <c r="C5" s="730"/>
      <c r="D5" s="730"/>
      <c r="E5" s="730"/>
      <c r="F5" s="730"/>
      <c r="G5" s="730"/>
      <c r="H5" s="730"/>
      <c r="I5" s="730"/>
      <c r="J5" s="730"/>
      <c r="K5" s="730"/>
      <c r="L5" s="730"/>
      <c r="M5" s="730"/>
      <c r="N5" s="730"/>
      <c r="O5" s="730"/>
      <c r="P5" s="730"/>
      <c r="Q5" s="730"/>
      <c r="R5" s="730"/>
      <c r="S5" s="730"/>
      <c r="T5" s="730"/>
      <c r="U5" s="730"/>
    </row>
    <row r="6" spans="1:26" s="7" customFormat="1" ht="31.9" customHeight="1">
      <c r="A6" s="731" t="s">
        <v>4</v>
      </c>
      <c r="B6" s="731" t="s">
        <v>104</v>
      </c>
      <c r="C6" s="734" t="s">
        <v>5</v>
      </c>
      <c r="D6" s="735"/>
      <c r="E6" s="735"/>
      <c r="F6" s="735"/>
      <c r="G6" s="735"/>
      <c r="H6" s="735"/>
      <c r="I6" s="735"/>
      <c r="J6" s="735"/>
      <c r="K6" s="736"/>
      <c r="L6" s="737" t="s">
        <v>105</v>
      </c>
      <c r="M6" s="738"/>
      <c r="N6" s="739"/>
      <c r="O6" s="737" t="s">
        <v>6</v>
      </c>
      <c r="P6" s="738"/>
      <c r="Q6" s="739"/>
      <c r="R6" s="737" t="s">
        <v>106</v>
      </c>
      <c r="S6" s="738"/>
      <c r="T6" s="739"/>
      <c r="U6" s="731" t="s">
        <v>7</v>
      </c>
      <c r="W6" s="71"/>
      <c r="X6" s="6"/>
      <c r="Y6" s="6"/>
      <c r="Z6" s="6"/>
    </row>
    <row r="7" spans="1:26" s="7" customFormat="1" ht="75" customHeight="1">
      <c r="A7" s="732"/>
      <c r="B7" s="732"/>
      <c r="C7" s="734" t="s">
        <v>8</v>
      </c>
      <c r="D7" s="735"/>
      <c r="E7" s="736"/>
      <c r="F7" s="734" t="s">
        <v>107</v>
      </c>
      <c r="G7" s="735"/>
      <c r="H7" s="736"/>
      <c r="I7" s="734" t="s">
        <v>108</v>
      </c>
      <c r="J7" s="735"/>
      <c r="K7" s="736"/>
      <c r="L7" s="740"/>
      <c r="M7" s="741"/>
      <c r="N7" s="742"/>
      <c r="O7" s="740"/>
      <c r="P7" s="741"/>
      <c r="Q7" s="742"/>
      <c r="R7" s="740"/>
      <c r="S7" s="741"/>
      <c r="T7" s="742"/>
      <c r="U7" s="732"/>
      <c r="W7" s="71"/>
      <c r="X7" s="6"/>
      <c r="Y7" s="6"/>
      <c r="Z7" s="6"/>
    </row>
    <row r="8" spans="1:26" s="7" customFormat="1" ht="28.9" customHeight="1">
      <c r="A8" s="732"/>
      <c r="B8" s="732"/>
      <c r="C8" s="731" t="s">
        <v>9</v>
      </c>
      <c r="D8" s="743" t="s">
        <v>14</v>
      </c>
      <c r="E8" s="744"/>
      <c r="F8" s="731" t="s">
        <v>9</v>
      </c>
      <c r="G8" s="743" t="s">
        <v>14</v>
      </c>
      <c r="H8" s="744"/>
      <c r="I8" s="731" t="s">
        <v>9</v>
      </c>
      <c r="J8" s="743" t="s">
        <v>14</v>
      </c>
      <c r="K8" s="744"/>
      <c r="L8" s="731" t="s">
        <v>9</v>
      </c>
      <c r="M8" s="743" t="s">
        <v>14</v>
      </c>
      <c r="N8" s="744"/>
      <c r="O8" s="731" t="s">
        <v>9</v>
      </c>
      <c r="P8" s="743" t="s">
        <v>14</v>
      </c>
      <c r="Q8" s="744"/>
      <c r="R8" s="731" t="s">
        <v>9</v>
      </c>
      <c r="S8" s="743" t="s">
        <v>14</v>
      </c>
      <c r="T8" s="744"/>
      <c r="U8" s="732"/>
      <c r="W8" s="71"/>
      <c r="X8" s="6"/>
      <c r="Y8" s="72"/>
      <c r="Z8" s="72"/>
    </row>
    <row r="9" spans="1:26" s="7" customFormat="1" ht="52.15" customHeight="1">
      <c r="A9" s="733"/>
      <c r="B9" s="733"/>
      <c r="C9" s="733"/>
      <c r="D9" s="8" t="s">
        <v>69</v>
      </c>
      <c r="E9" s="8" t="s">
        <v>109</v>
      </c>
      <c r="F9" s="733"/>
      <c r="G9" s="8" t="s">
        <v>69</v>
      </c>
      <c r="H9" s="8" t="s">
        <v>109</v>
      </c>
      <c r="I9" s="733"/>
      <c r="J9" s="8" t="s">
        <v>69</v>
      </c>
      <c r="K9" s="8" t="s">
        <v>109</v>
      </c>
      <c r="L9" s="733"/>
      <c r="M9" s="8" t="s">
        <v>69</v>
      </c>
      <c r="N9" s="8" t="s">
        <v>109</v>
      </c>
      <c r="O9" s="733"/>
      <c r="P9" s="8" t="s">
        <v>69</v>
      </c>
      <c r="Q9" s="8" t="s">
        <v>109</v>
      </c>
      <c r="R9" s="733"/>
      <c r="S9" s="8" t="s">
        <v>69</v>
      </c>
      <c r="T9" s="8" t="s">
        <v>109</v>
      </c>
      <c r="U9" s="733"/>
      <c r="W9" s="71"/>
      <c r="X9" s="6"/>
      <c r="Y9" s="71"/>
      <c r="Z9" s="71"/>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1"/>
      <c r="X10" s="71"/>
      <c r="Y10" s="71"/>
      <c r="Z10" s="71"/>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3" t="s">
        <v>110</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3" t="s">
        <v>110</v>
      </c>
      <c r="C13" s="9"/>
      <c r="D13" s="9"/>
      <c r="E13" s="9"/>
      <c r="F13" s="9"/>
      <c r="G13" s="9"/>
      <c r="H13" s="9"/>
      <c r="I13" s="9"/>
      <c r="J13" s="9"/>
      <c r="K13" s="9"/>
      <c r="L13" s="9"/>
      <c r="M13" s="9"/>
      <c r="N13" s="9"/>
      <c r="O13" s="9"/>
      <c r="P13" s="9"/>
      <c r="Q13" s="9"/>
      <c r="R13" s="9"/>
      <c r="S13" s="9"/>
      <c r="T13" s="9"/>
      <c r="U13" s="12"/>
      <c r="W13" s="74"/>
      <c r="X13" s="74"/>
      <c r="Y13" s="74"/>
      <c r="Z13" s="74"/>
    </row>
    <row r="14" spans="1:26" s="5" customFormat="1" ht="39" customHeight="1">
      <c r="A14" s="9" t="s">
        <v>40</v>
      </c>
      <c r="B14" s="11" t="s">
        <v>40</v>
      </c>
      <c r="C14" s="9"/>
      <c r="D14" s="9"/>
      <c r="E14" s="9"/>
      <c r="F14" s="9"/>
      <c r="G14" s="9"/>
      <c r="H14" s="9"/>
      <c r="I14" s="9"/>
      <c r="J14" s="9"/>
      <c r="K14" s="9"/>
      <c r="L14" s="9"/>
      <c r="M14" s="9"/>
      <c r="N14" s="9"/>
      <c r="O14" s="9"/>
      <c r="P14" s="9"/>
      <c r="Q14" s="9"/>
      <c r="R14" s="9"/>
      <c r="S14" s="9"/>
      <c r="T14" s="9"/>
      <c r="U14" s="12"/>
      <c r="W14" s="74"/>
      <c r="X14" s="74"/>
      <c r="Y14" s="74"/>
      <c r="Z14" s="74"/>
    </row>
    <row r="15" spans="1:26" ht="18.399999999999999" customHeight="1">
      <c r="A15" s="8"/>
      <c r="B15" s="75"/>
      <c r="C15" s="10"/>
      <c r="D15" s="10"/>
      <c r="E15" s="10"/>
      <c r="F15" s="10"/>
      <c r="G15" s="10"/>
      <c r="H15" s="10"/>
      <c r="I15" s="10"/>
      <c r="J15" s="10"/>
      <c r="K15" s="10"/>
      <c r="L15" s="10"/>
      <c r="M15" s="10"/>
      <c r="N15" s="10"/>
      <c r="O15" s="10"/>
      <c r="P15" s="10"/>
      <c r="Q15" s="10"/>
      <c r="R15" s="10"/>
      <c r="S15" s="10"/>
      <c r="T15" s="10"/>
      <c r="U15" s="10"/>
    </row>
    <row r="17" spans="2:21">
      <c r="B17" s="76" t="s">
        <v>19</v>
      </c>
      <c r="C17" s="76"/>
      <c r="D17" s="76"/>
      <c r="E17" s="76"/>
      <c r="F17" s="76"/>
      <c r="G17" s="76"/>
      <c r="H17" s="76"/>
      <c r="I17" s="76"/>
      <c r="J17" s="76"/>
      <c r="K17" s="76"/>
      <c r="L17" s="76"/>
      <c r="M17" s="76"/>
      <c r="N17" s="76"/>
      <c r="O17" s="76"/>
      <c r="P17" s="76"/>
      <c r="Q17" s="76"/>
      <c r="R17" s="76"/>
      <c r="S17" s="76"/>
      <c r="T17" s="76"/>
    </row>
    <row r="18" spans="2:21">
      <c r="B18" s="745" t="s">
        <v>20</v>
      </c>
      <c r="C18" s="745"/>
      <c r="D18" s="745"/>
      <c r="E18" s="745"/>
      <c r="F18" s="745"/>
      <c r="G18" s="745"/>
      <c r="H18" s="745"/>
      <c r="I18" s="745"/>
      <c r="J18" s="745"/>
      <c r="K18" s="745"/>
      <c r="L18" s="745"/>
      <c r="M18" s="745"/>
      <c r="N18" s="745"/>
      <c r="O18" s="745"/>
      <c r="P18" s="745"/>
      <c r="Q18" s="745"/>
      <c r="R18" s="745"/>
      <c r="S18" s="745"/>
      <c r="T18" s="745"/>
    </row>
    <row r="19" spans="2:21">
      <c r="B19" s="722" t="s">
        <v>21</v>
      </c>
      <c r="C19" s="722"/>
      <c r="D19" s="722"/>
      <c r="E19" s="722"/>
      <c r="F19" s="722"/>
      <c r="G19" s="722"/>
      <c r="H19" s="722"/>
      <c r="I19" s="722"/>
      <c r="J19" s="722"/>
      <c r="K19" s="722"/>
      <c r="L19" s="722"/>
      <c r="M19" s="722"/>
      <c r="N19" s="722"/>
      <c r="O19" s="722"/>
      <c r="P19" s="722"/>
      <c r="Q19" s="722"/>
      <c r="R19" s="722"/>
      <c r="S19" s="722"/>
      <c r="T19" s="722"/>
      <c r="U19" s="722"/>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AW371"/>
  <sheetViews>
    <sheetView zoomScale="85" zoomScaleNormal="85" workbookViewId="0">
      <selection sqref="A1:N1"/>
    </sheetView>
  </sheetViews>
  <sheetFormatPr defaultColWidth="9.140625" defaultRowHeight="12.75"/>
  <cols>
    <col min="1" max="1" width="5.140625" style="123" customWidth="1"/>
    <col min="2" max="2" width="33.28515625" style="124" customWidth="1"/>
    <col min="3" max="4" width="7.28515625" style="125" customWidth="1"/>
    <col min="5" max="5" width="8.28515625" style="125" customWidth="1"/>
    <col min="6" max="6" width="10.140625" style="78" customWidth="1"/>
    <col min="7" max="7" width="11" style="78" customWidth="1"/>
    <col min="8" max="8" width="8.7109375" style="78" customWidth="1"/>
    <col min="9" max="9" width="10.140625" style="78" customWidth="1"/>
    <col min="10" max="10" width="11" style="78" customWidth="1"/>
    <col min="11" max="14" width="8.7109375" style="78" customWidth="1"/>
    <col min="15" max="16" width="9.28515625" style="78" hidden="1" customWidth="1"/>
    <col min="17" max="17" width="10.7109375" style="78" hidden="1" customWidth="1"/>
    <col min="18" max="18" width="10.28515625" style="78" hidden="1" customWidth="1"/>
    <col min="19" max="30" width="10.28515625" style="78" customWidth="1"/>
    <col min="31" max="31" width="9.28515625" style="78" customWidth="1"/>
    <col min="32" max="32" width="11" style="78" customWidth="1"/>
    <col min="33" max="33" width="11.28515625" style="78" customWidth="1"/>
    <col min="34" max="34" width="9.28515625" style="78" hidden="1" customWidth="1"/>
    <col min="35" max="35" width="11" style="78" hidden="1" customWidth="1"/>
    <col min="36" max="36" width="11.28515625" style="78" hidden="1" customWidth="1"/>
    <col min="37" max="37" width="11.28515625" style="78" customWidth="1"/>
    <col min="38" max="16384" width="9.140625" style="79"/>
  </cols>
  <sheetData>
    <row r="1" spans="1:43" ht="25.5" customHeight="1">
      <c r="A1" s="679" t="s">
        <v>111</v>
      </c>
      <c r="B1" s="679"/>
      <c r="C1" s="679"/>
      <c r="D1" s="679"/>
      <c r="E1" s="679"/>
      <c r="F1" s="679"/>
      <c r="G1" s="679"/>
      <c r="H1" s="679"/>
      <c r="I1" s="679"/>
      <c r="J1" s="679"/>
      <c r="K1" s="679"/>
      <c r="L1" s="679"/>
      <c r="M1" s="679"/>
      <c r="N1" s="679"/>
      <c r="AA1" s="727" t="s">
        <v>0</v>
      </c>
      <c r="AB1" s="727"/>
      <c r="AC1" s="727"/>
      <c r="AD1" s="727"/>
      <c r="AE1" s="727"/>
      <c r="AF1" s="727"/>
      <c r="AG1" s="727"/>
      <c r="AH1" s="727"/>
      <c r="AI1" s="727"/>
      <c r="AJ1" s="727"/>
      <c r="AK1" s="727"/>
    </row>
    <row r="2" spans="1:43" ht="31.5" customHeight="1">
      <c r="A2" s="692" t="s">
        <v>1</v>
      </c>
      <c r="B2" s="692"/>
      <c r="C2" s="692"/>
      <c r="D2" s="692"/>
      <c r="E2" s="692"/>
      <c r="F2" s="692"/>
      <c r="G2" s="692"/>
      <c r="H2" s="692"/>
      <c r="I2" s="692"/>
      <c r="J2" s="692"/>
      <c r="K2" s="692"/>
      <c r="L2" s="692"/>
      <c r="M2" s="692"/>
      <c r="N2" s="692"/>
      <c r="AA2" s="728" t="s">
        <v>49</v>
      </c>
      <c r="AB2" s="728"/>
      <c r="AC2" s="728"/>
      <c r="AD2" s="728"/>
      <c r="AE2" s="728"/>
      <c r="AF2" s="728"/>
      <c r="AG2" s="728"/>
      <c r="AH2" s="728"/>
      <c r="AI2" s="728"/>
      <c r="AJ2" s="728"/>
      <c r="AK2" s="728"/>
    </row>
    <row r="3" spans="1:43" s="81" customFormat="1" ht="22.5" customHeight="1">
      <c r="A3" s="746" t="s">
        <v>50</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80"/>
      <c r="AM3" s="80"/>
      <c r="AN3" s="80"/>
      <c r="AO3" s="80"/>
      <c r="AP3" s="80"/>
    </row>
    <row r="4" spans="1:43" s="82" customFormat="1" ht="31.5" customHeight="1">
      <c r="A4" s="679" t="s">
        <v>112</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row>
    <row r="5" spans="1:43" s="86" customFormat="1" ht="28.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c r="AH5" s="84"/>
      <c r="AI5" s="84"/>
      <c r="AJ5" s="84"/>
      <c r="AK5" s="85" t="s">
        <v>3</v>
      </c>
    </row>
    <row r="6" spans="1:43" s="87" customFormat="1" ht="25.5" customHeight="1">
      <c r="A6" s="755" t="s">
        <v>22</v>
      </c>
      <c r="B6" s="755" t="s">
        <v>23</v>
      </c>
      <c r="C6" s="755" t="s">
        <v>24</v>
      </c>
      <c r="D6" s="755" t="s">
        <v>25</v>
      </c>
      <c r="E6" s="755" t="s">
        <v>26</v>
      </c>
      <c r="F6" s="749" t="s">
        <v>113</v>
      </c>
      <c r="G6" s="750"/>
      <c r="H6" s="751"/>
      <c r="I6" s="749" t="s">
        <v>114</v>
      </c>
      <c r="J6" s="750"/>
      <c r="K6" s="750"/>
      <c r="L6" s="750"/>
      <c r="M6" s="750"/>
      <c r="N6" s="751"/>
      <c r="O6" s="749" t="s">
        <v>115</v>
      </c>
      <c r="P6" s="750"/>
      <c r="Q6" s="751"/>
      <c r="R6" s="755"/>
      <c r="S6" s="757" t="s">
        <v>55</v>
      </c>
      <c r="T6" s="758"/>
      <c r="U6" s="757" t="s">
        <v>56</v>
      </c>
      <c r="V6" s="764"/>
      <c r="W6" s="757" t="s">
        <v>116</v>
      </c>
      <c r="X6" s="764"/>
      <c r="Y6" s="758"/>
      <c r="Z6" s="757" t="s">
        <v>117</v>
      </c>
      <c r="AA6" s="764"/>
      <c r="AB6" s="758"/>
      <c r="AC6" s="757" t="s">
        <v>118</v>
      </c>
      <c r="AD6" s="758"/>
      <c r="AE6" s="757" t="s">
        <v>28</v>
      </c>
      <c r="AF6" s="764"/>
      <c r="AG6" s="758"/>
      <c r="AH6" s="757" t="s">
        <v>119</v>
      </c>
      <c r="AI6" s="764"/>
      <c r="AJ6" s="758"/>
      <c r="AK6" s="755" t="s">
        <v>7</v>
      </c>
    </row>
    <row r="7" spans="1:43" s="88" customFormat="1" ht="38.25" customHeight="1">
      <c r="A7" s="761"/>
      <c r="B7" s="761"/>
      <c r="C7" s="761"/>
      <c r="D7" s="761"/>
      <c r="E7" s="761"/>
      <c r="F7" s="752"/>
      <c r="G7" s="753"/>
      <c r="H7" s="754"/>
      <c r="I7" s="752"/>
      <c r="J7" s="753"/>
      <c r="K7" s="753"/>
      <c r="L7" s="753"/>
      <c r="M7" s="753"/>
      <c r="N7" s="754"/>
      <c r="O7" s="752"/>
      <c r="P7" s="753"/>
      <c r="Q7" s="754"/>
      <c r="R7" s="756"/>
      <c r="S7" s="759"/>
      <c r="T7" s="760"/>
      <c r="U7" s="759"/>
      <c r="V7" s="765"/>
      <c r="W7" s="759"/>
      <c r="X7" s="765"/>
      <c r="Y7" s="760"/>
      <c r="Z7" s="759"/>
      <c r="AA7" s="765"/>
      <c r="AB7" s="760"/>
      <c r="AC7" s="759"/>
      <c r="AD7" s="760"/>
      <c r="AE7" s="759"/>
      <c r="AF7" s="765"/>
      <c r="AG7" s="760"/>
      <c r="AH7" s="759"/>
      <c r="AI7" s="765"/>
      <c r="AJ7" s="760"/>
      <c r="AK7" s="761"/>
    </row>
    <row r="8" spans="1:43" s="88" customFormat="1" ht="27" customHeight="1">
      <c r="A8" s="761"/>
      <c r="B8" s="761"/>
      <c r="C8" s="761"/>
      <c r="D8" s="761"/>
      <c r="E8" s="761"/>
      <c r="F8" s="747" t="s">
        <v>120</v>
      </c>
      <c r="G8" s="747" t="s">
        <v>30</v>
      </c>
      <c r="H8" s="720" t="s">
        <v>121</v>
      </c>
      <c r="I8" s="747" t="s">
        <v>120</v>
      </c>
      <c r="J8" s="747" t="s">
        <v>30</v>
      </c>
      <c r="K8" s="766" t="s">
        <v>121</v>
      </c>
      <c r="L8" s="767"/>
      <c r="M8" s="767"/>
      <c r="N8" s="768"/>
      <c r="O8" s="747" t="s">
        <v>120</v>
      </c>
      <c r="P8" s="747" t="s">
        <v>30</v>
      </c>
      <c r="Q8" s="720" t="s">
        <v>122</v>
      </c>
      <c r="R8" s="720" t="s">
        <v>123</v>
      </c>
      <c r="S8" s="747" t="s">
        <v>9</v>
      </c>
      <c r="T8" s="747" t="s">
        <v>122</v>
      </c>
      <c r="U8" s="774" t="s">
        <v>9</v>
      </c>
      <c r="V8" s="747" t="s">
        <v>122</v>
      </c>
      <c r="W8" s="747" t="s">
        <v>31</v>
      </c>
      <c r="X8" s="766" t="s">
        <v>14</v>
      </c>
      <c r="Y8" s="768"/>
      <c r="Z8" s="747" t="s">
        <v>9</v>
      </c>
      <c r="AA8" s="772" t="s">
        <v>122</v>
      </c>
      <c r="AB8" s="773"/>
      <c r="AC8" s="747" t="s">
        <v>9</v>
      </c>
      <c r="AD8" s="720" t="s">
        <v>122</v>
      </c>
      <c r="AE8" s="755" t="s">
        <v>31</v>
      </c>
      <c r="AF8" s="762" t="s">
        <v>122</v>
      </c>
      <c r="AG8" s="763"/>
      <c r="AH8" s="755" t="s">
        <v>31</v>
      </c>
      <c r="AI8" s="762" t="s">
        <v>122</v>
      </c>
      <c r="AJ8" s="763"/>
      <c r="AK8" s="761"/>
    </row>
    <row r="9" spans="1:43" s="88" customFormat="1" ht="121.5" customHeight="1">
      <c r="A9" s="756"/>
      <c r="B9" s="756"/>
      <c r="C9" s="756"/>
      <c r="D9" s="756"/>
      <c r="E9" s="756"/>
      <c r="F9" s="748"/>
      <c r="G9" s="748"/>
      <c r="H9" s="721"/>
      <c r="I9" s="748"/>
      <c r="J9" s="748"/>
      <c r="K9" s="89" t="s">
        <v>9</v>
      </c>
      <c r="L9" s="89" t="s">
        <v>124</v>
      </c>
      <c r="M9" s="89" t="s">
        <v>125</v>
      </c>
      <c r="N9" s="89" t="s">
        <v>126</v>
      </c>
      <c r="O9" s="748"/>
      <c r="P9" s="748"/>
      <c r="Q9" s="721"/>
      <c r="R9" s="721"/>
      <c r="S9" s="748"/>
      <c r="T9" s="748"/>
      <c r="U9" s="774"/>
      <c r="V9" s="748"/>
      <c r="W9" s="748"/>
      <c r="X9" s="90" t="s">
        <v>68</v>
      </c>
      <c r="Y9" s="90" t="s">
        <v>69</v>
      </c>
      <c r="Z9" s="748"/>
      <c r="AA9" s="91" t="s">
        <v>9</v>
      </c>
      <c r="AB9" s="89" t="s">
        <v>127</v>
      </c>
      <c r="AC9" s="748"/>
      <c r="AD9" s="721"/>
      <c r="AE9" s="756"/>
      <c r="AF9" s="92" t="s">
        <v>9</v>
      </c>
      <c r="AG9" s="93" t="s">
        <v>128</v>
      </c>
      <c r="AH9" s="756"/>
      <c r="AI9" s="92" t="s">
        <v>9</v>
      </c>
      <c r="AJ9" s="93" t="s">
        <v>128</v>
      </c>
      <c r="AK9" s="756"/>
      <c r="AN9" s="769"/>
      <c r="AO9" s="769"/>
      <c r="AP9" s="769"/>
      <c r="AQ9" s="769"/>
    </row>
    <row r="10" spans="1:43" s="95" customFormat="1" ht="30.75" customHeight="1">
      <c r="A10" s="94">
        <v>1</v>
      </c>
      <c r="B10" s="94">
        <f>A10+1</f>
        <v>2</v>
      </c>
      <c r="C10" s="94">
        <f t="shared" ref="C10:N10" si="0">B10+1</f>
        <v>3</v>
      </c>
      <c r="D10" s="94">
        <f t="shared" si="0"/>
        <v>4</v>
      </c>
      <c r="E10" s="94">
        <f t="shared" si="0"/>
        <v>5</v>
      </c>
      <c r="F10" s="94">
        <f t="shared" si="0"/>
        <v>6</v>
      </c>
      <c r="G10" s="94">
        <f t="shared" si="0"/>
        <v>7</v>
      </c>
      <c r="H10" s="94">
        <f t="shared" si="0"/>
        <v>8</v>
      </c>
      <c r="I10" s="94">
        <f t="shared" si="0"/>
        <v>9</v>
      </c>
      <c r="J10" s="94">
        <f t="shared" si="0"/>
        <v>10</v>
      </c>
      <c r="K10" s="94">
        <f t="shared" si="0"/>
        <v>11</v>
      </c>
      <c r="L10" s="94">
        <f t="shared" si="0"/>
        <v>12</v>
      </c>
      <c r="M10" s="94">
        <f t="shared" si="0"/>
        <v>13</v>
      </c>
      <c r="N10" s="94">
        <f t="shared" si="0"/>
        <v>14</v>
      </c>
      <c r="O10" s="94">
        <v>15</v>
      </c>
      <c r="P10" s="94">
        <v>16</v>
      </c>
      <c r="Q10" s="94">
        <v>17</v>
      </c>
      <c r="R10" s="94">
        <v>21</v>
      </c>
      <c r="S10" s="94">
        <f>N10+1</f>
        <v>15</v>
      </c>
      <c r="T10" s="94">
        <f t="shared" ref="T10:AG10" si="1">S10+1</f>
        <v>16</v>
      </c>
      <c r="U10" s="94">
        <f t="shared" si="1"/>
        <v>17</v>
      </c>
      <c r="V10" s="94">
        <f t="shared" si="1"/>
        <v>18</v>
      </c>
      <c r="W10" s="94">
        <f t="shared" si="1"/>
        <v>19</v>
      </c>
      <c r="X10" s="94">
        <f t="shared" si="1"/>
        <v>20</v>
      </c>
      <c r="Y10" s="94">
        <f t="shared" si="1"/>
        <v>21</v>
      </c>
      <c r="Z10" s="94">
        <f t="shared" si="1"/>
        <v>22</v>
      </c>
      <c r="AA10" s="94">
        <f t="shared" si="1"/>
        <v>23</v>
      </c>
      <c r="AB10" s="94">
        <f t="shared" si="1"/>
        <v>24</v>
      </c>
      <c r="AC10" s="94">
        <f t="shared" si="1"/>
        <v>25</v>
      </c>
      <c r="AD10" s="94">
        <f t="shared" si="1"/>
        <v>26</v>
      </c>
      <c r="AE10" s="94">
        <f t="shared" si="1"/>
        <v>27</v>
      </c>
      <c r="AF10" s="94">
        <f t="shared" si="1"/>
        <v>28</v>
      </c>
      <c r="AG10" s="94">
        <f t="shared" si="1"/>
        <v>29</v>
      </c>
      <c r="AH10" s="94">
        <v>31</v>
      </c>
      <c r="AI10" s="94">
        <v>31</v>
      </c>
      <c r="AJ10" s="94">
        <v>33</v>
      </c>
      <c r="AK10" s="94">
        <f>AG10+1</f>
        <v>30</v>
      </c>
      <c r="AN10" s="770"/>
      <c r="AO10" s="770"/>
      <c r="AP10" s="770"/>
      <c r="AQ10" s="770"/>
    </row>
    <row r="11" spans="1:43" ht="32.25" customHeight="1">
      <c r="A11" s="96"/>
      <c r="B11" s="97" t="s">
        <v>13</v>
      </c>
      <c r="C11" s="98"/>
      <c r="D11" s="98"/>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N11" s="771"/>
      <c r="AO11" s="100"/>
      <c r="AP11" s="100"/>
      <c r="AQ11" s="100"/>
    </row>
    <row r="12" spans="1:43" s="104" customFormat="1" ht="39" customHeight="1">
      <c r="A12" s="101" t="s">
        <v>32</v>
      </c>
      <c r="B12" s="102" t="s">
        <v>110</v>
      </c>
      <c r="C12" s="97"/>
      <c r="D12" s="97"/>
      <c r="E12" s="97"/>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43" s="104" customFormat="1" ht="55.5" customHeight="1">
      <c r="A13" s="105">
        <v>1</v>
      </c>
      <c r="B13" s="102" t="s">
        <v>129</v>
      </c>
      <c r="C13" s="97"/>
      <c r="D13" s="97"/>
      <c r="E13" s="97"/>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1:43" s="104" customFormat="1" ht="25.5" customHeight="1">
      <c r="A14" s="106" t="s">
        <v>40</v>
      </c>
      <c r="B14" s="107" t="s">
        <v>40</v>
      </c>
      <c r="C14" s="97"/>
      <c r="D14" s="97"/>
      <c r="E14" s="97"/>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spans="1:43" s="104" customFormat="1" ht="52.15" customHeight="1">
      <c r="A15" s="105" t="s">
        <v>39</v>
      </c>
      <c r="B15" s="102" t="s">
        <v>130</v>
      </c>
      <c r="C15" s="97"/>
      <c r="D15" s="97"/>
      <c r="E15" s="97"/>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43" s="104" customFormat="1" ht="25.5" customHeight="1">
      <c r="A16" s="106" t="s">
        <v>33</v>
      </c>
      <c r="B16" s="108" t="s">
        <v>38</v>
      </c>
      <c r="C16" s="97"/>
      <c r="D16" s="97"/>
      <c r="E16" s="97"/>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s="104" customFormat="1" ht="25.5" customHeight="1">
      <c r="A17" s="106" t="s">
        <v>40</v>
      </c>
      <c r="B17" s="107" t="s">
        <v>41</v>
      </c>
      <c r="C17" s="97"/>
      <c r="D17" s="97"/>
      <c r="E17" s="97"/>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104" customFormat="1" ht="43.5" customHeight="1">
      <c r="A18" s="105" t="s">
        <v>77</v>
      </c>
      <c r="B18" s="102" t="s">
        <v>131</v>
      </c>
      <c r="C18" s="97"/>
      <c r="D18" s="97"/>
      <c r="E18" s="97"/>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s="104" customFormat="1" ht="25.5" customHeight="1">
      <c r="A19" s="106" t="s">
        <v>33</v>
      </c>
      <c r="B19" s="108" t="s">
        <v>38</v>
      </c>
      <c r="C19" s="97"/>
      <c r="D19" s="97"/>
      <c r="E19" s="97"/>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1:37" s="104" customFormat="1" ht="25.5" customHeight="1">
      <c r="A20" s="106" t="s">
        <v>40</v>
      </c>
      <c r="B20" s="107" t="s">
        <v>41</v>
      </c>
      <c r="C20" s="97"/>
      <c r="D20" s="97"/>
      <c r="E20" s="97"/>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104" customFormat="1" ht="40.5" customHeight="1">
      <c r="A21" s="105" t="s">
        <v>79</v>
      </c>
      <c r="B21" s="102" t="s">
        <v>132</v>
      </c>
      <c r="C21" s="97"/>
      <c r="D21" s="97"/>
      <c r="E21" s="97"/>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s="104" customFormat="1" ht="28.5" customHeight="1">
      <c r="A22" s="106" t="s">
        <v>33</v>
      </c>
      <c r="B22" s="108" t="s">
        <v>38</v>
      </c>
      <c r="C22" s="97"/>
      <c r="D22" s="97"/>
      <c r="E22" s="97"/>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s="104" customFormat="1" ht="25.5" customHeight="1">
      <c r="A23" s="106" t="s">
        <v>40</v>
      </c>
      <c r="B23" s="107" t="s">
        <v>41</v>
      </c>
      <c r="C23" s="97"/>
      <c r="D23" s="97"/>
      <c r="E23" s="97"/>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104" customFormat="1" ht="81" customHeight="1">
      <c r="A24" s="105" t="s">
        <v>133</v>
      </c>
      <c r="B24" s="102" t="s">
        <v>134</v>
      </c>
      <c r="C24" s="97"/>
      <c r="D24" s="97"/>
      <c r="E24" s="97"/>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s="104" customFormat="1" ht="28.5" customHeight="1">
      <c r="A25" s="106" t="s">
        <v>33</v>
      </c>
      <c r="B25" s="108" t="s">
        <v>38</v>
      </c>
      <c r="C25" s="97"/>
      <c r="D25" s="97"/>
      <c r="E25" s="97"/>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row>
    <row r="26" spans="1:37" s="104" customFormat="1" ht="25.5" customHeight="1">
      <c r="A26" s="106" t="s">
        <v>40</v>
      </c>
      <c r="B26" s="107" t="s">
        <v>41</v>
      </c>
      <c r="C26" s="97"/>
      <c r="D26" s="97"/>
      <c r="E26" s="97"/>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1:37" s="104" customFormat="1" ht="39.75" customHeight="1">
      <c r="A27" s="101" t="s">
        <v>48</v>
      </c>
      <c r="B27" s="102" t="s">
        <v>110</v>
      </c>
      <c r="C27" s="97"/>
      <c r="D27" s="97"/>
      <c r="E27" s="97"/>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1:37" ht="25.5" customHeight="1">
      <c r="A28" s="96"/>
      <c r="B28" s="102" t="s">
        <v>81</v>
      </c>
      <c r="C28" s="98"/>
      <c r="D28" s="98"/>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25.5" customHeight="1">
      <c r="A29" s="96"/>
      <c r="B29" s="102" t="s">
        <v>135</v>
      </c>
      <c r="C29" s="98"/>
      <c r="D29" s="98"/>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113" customFormat="1" ht="36" hidden="1" customHeight="1">
      <c r="A30" s="109" t="s">
        <v>136</v>
      </c>
      <c r="B30" s="110" t="s">
        <v>137</v>
      </c>
      <c r="C30" s="111"/>
      <c r="D30" s="111"/>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17" customFormat="1" ht="36" hidden="1" customHeight="1">
      <c r="A31" s="114"/>
      <c r="B31" s="110" t="s">
        <v>81</v>
      </c>
      <c r="C31" s="115"/>
      <c r="D31" s="115"/>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s="117" customFormat="1" ht="78" hidden="1" customHeight="1">
      <c r="A32" s="109" t="s">
        <v>138</v>
      </c>
      <c r="B32" s="110" t="s">
        <v>139</v>
      </c>
      <c r="C32" s="115"/>
      <c r="D32" s="115"/>
      <c r="E32" s="115"/>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49" s="117" customFormat="1" ht="36" hidden="1" customHeight="1">
      <c r="A33" s="114"/>
      <c r="B33" s="110" t="s">
        <v>81</v>
      </c>
      <c r="C33" s="115"/>
      <c r="D33" s="115"/>
      <c r="E33" s="115"/>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49" ht="51" hidden="1" customHeight="1">
      <c r="A34" s="101" t="s">
        <v>138</v>
      </c>
      <c r="B34" s="102" t="s">
        <v>140</v>
      </c>
      <c r="C34" s="98"/>
      <c r="D34" s="98"/>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row>
    <row r="35" spans="1:49" ht="29.25" hidden="1" customHeight="1">
      <c r="A35" s="96"/>
      <c r="B35" s="102" t="s">
        <v>81</v>
      </c>
      <c r="C35" s="98"/>
      <c r="D35" s="98"/>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118"/>
    </row>
    <row r="36" spans="1:49" ht="8.25" customHeight="1">
      <c r="A36" s="96"/>
      <c r="B36" s="108"/>
      <c r="C36" s="98"/>
      <c r="D36" s="98"/>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8"/>
    </row>
    <row r="37" spans="1:49" ht="11.25" customHeight="1">
      <c r="A37" s="119"/>
      <c r="B37" s="120"/>
      <c r="C37" s="121"/>
      <c r="D37" s="121"/>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row>
    <row r="38" spans="1:49" ht="19.899999999999999" customHeight="1">
      <c r="A38" s="119"/>
      <c r="B38" s="76" t="s">
        <v>19</v>
      </c>
      <c r="C38" s="76"/>
      <c r="D38" s="76"/>
      <c r="E38" s="76"/>
      <c r="F38" s="76"/>
      <c r="G38" s="76"/>
      <c r="H38" s="76"/>
      <c r="I38" s="76"/>
      <c r="J38" s="76"/>
      <c r="K38" s="76"/>
      <c r="L38" s="76"/>
      <c r="M38" s="76"/>
      <c r="N38" s="76"/>
      <c r="O38" s="76"/>
      <c r="P38" s="76"/>
      <c r="Q38" s="76"/>
      <c r="R38" s="122"/>
      <c r="S38" s="122"/>
      <c r="T38" s="122"/>
      <c r="U38" s="122"/>
      <c r="V38" s="122"/>
      <c r="W38" s="122"/>
      <c r="X38" s="122"/>
      <c r="Y38" s="122"/>
      <c r="Z38" s="122"/>
      <c r="AA38" s="122"/>
      <c r="AB38" s="122"/>
      <c r="AC38" s="122"/>
      <c r="AD38" s="122"/>
      <c r="AE38" s="122"/>
      <c r="AF38" s="122"/>
      <c r="AG38" s="122"/>
      <c r="AH38" s="122"/>
      <c r="AI38" s="122"/>
      <c r="AJ38" s="122"/>
    </row>
    <row r="39" spans="1:49" ht="19.899999999999999" customHeight="1">
      <c r="A39" s="119"/>
      <c r="B39" s="745" t="s">
        <v>20</v>
      </c>
      <c r="C39" s="745"/>
      <c r="D39" s="745"/>
      <c r="E39" s="745"/>
      <c r="F39" s="745"/>
      <c r="G39" s="745"/>
      <c r="H39" s="745"/>
      <c r="I39" s="745"/>
      <c r="J39" s="745"/>
      <c r="K39" s="745"/>
      <c r="L39" s="745"/>
      <c r="M39" s="745"/>
      <c r="N39" s="745"/>
      <c r="O39" s="745"/>
      <c r="P39" s="745"/>
      <c r="Q39" s="745"/>
      <c r="R39" s="122"/>
      <c r="S39" s="122"/>
      <c r="T39" s="122"/>
      <c r="U39" s="122"/>
      <c r="V39" s="122"/>
      <c r="W39" s="122"/>
      <c r="X39" s="122"/>
      <c r="Y39" s="122"/>
      <c r="Z39" s="122"/>
      <c r="AA39" s="122"/>
      <c r="AB39" s="122"/>
      <c r="AC39" s="122"/>
      <c r="AD39" s="122"/>
      <c r="AE39" s="122"/>
      <c r="AF39" s="122"/>
      <c r="AG39" s="122"/>
      <c r="AH39" s="122"/>
      <c r="AI39" s="122"/>
      <c r="AJ39" s="122"/>
    </row>
    <row r="40" spans="1:49" ht="19.899999999999999" customHeight="1">
      <c r="A40" s="119"/>
      <c r="B40" s="120"/>
      <c r="C40" s="121"/>
      <c r="D40" s="121"/>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row>
    <row r="41" spans="1:49" s="78" customFormat="1" ht="19.899999999999999" customHeight="1">
      <c r="A41" s="119"/>
      <c r="B41" s="120"/>
      <c r="C41" s="121"/>
      <c r="D41" s="121"/>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L41" s="79"/>
      <c r="AM41" s="79"/>
      <c r="AN41" s="79"/>
      <c r="AO41" s="79"/>
      <c r="AP41" s="79"/>
      <c r="AQ41" s="79"/>
      <c r="AR41" s="79"/>
      <c r="AS41" s="79"/>
      <c r="AT41" s="79"/>
      <c r="AU41" s="79"/>
      <c r="AV41" s="79"/>
      <c r="AW41" s="79"/>
    </row>
    <row r="42" spans="1:49" s="78" customFormat="1" ht="19.899999999999999" customHeight="1">
      <c r="A42" s="119"/>
      <c r="B42" s="120"/>
      <c r="C42" s="121"/>
      <c r="D42" s="121"/>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L42" s="79"/>
      <c r="AM42" s="79"/>
      <c r="AN42" s="79"/>
      <c r="AO42" s="79"/>
      <c r="AP42" s="79"/>
      <c r="AQ42" s="79"/>
      <c r="AR42" s="79"/>
      <c r="AS42" s="79"/>
      <c r="AT42" s="79"/>
      <c r="AU42" s="79"/>
      <c r="AV42" s="79"/>
      <c r="AW42" s="79"/>
    </row>
    <row r="43" spans="1:49" s="78" customFormat="1" ht="19.899999999999999" customHeight="1">
      <c r="A43" s="119"/>
      <c r="B43" s="120"/>
      <c r="C43" s="121"/>
      <c r="D43" s="121"/>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L43" s="79"/>
      <c r="AM43" s="79"/>
      <c r="AN43" s="79"/>
      <c r="AO43" s="79"/>
      <c r="AP43" s="79"/>
      <c r="AQ43" s="79"/>
      <c r="AR43" s="79"/>
      <c r="AS43" s="79"/>
      <c r="AT43" s="79"/>
      <c r="AU43" s="79"/>
      <c r="AV43" s="79"/>
      <c r="AW43" s="79"/>
    </row>
    <row r="44" spans="1:49" s="78" customFormat="1" ht="19.899999999999999" customHeight="1">
      <c r="A44" s="119"/>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L44" s="79"/>
      <c r="AM44" s="79"/>
      <c r="AN44" s="79"/>
      <c r="AO44" s="79"/>
      <c r="AP44" s="79"/>
      <c r="AQ44" s="79"/>
      <c r="AR44" s="79"/>
      <c r="AS44" s="79"/>
      <c r="AT44" s="79"/>
      <c r="AU44" s="79"/>
      <c r="AV44" s="79"/>
      <c r="AW44" s="79"/>
    </row>
    <row r="45" spans="1:49" s="78" customFormat="1" ht="19.899999999999999" customHeight="1">
      <c r="A45" s="119"/>
      <c r="B45" s="120"/>
      <c r="C45" s="121"/>
      <c r="D45" s="121"/>
      <c r="E45" s="121"/>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L45" s="79"/>
      <c r="AM45" s="79"/>
      <c r="AN45" s="79"/>
      <c r="AO45" s="79"/>
      <c r="AP45" s="79"/>
      <c r="AQ45" s="79"/>
      <c r="AR45" s="79"/>
      <c r="AS45" s="79"/>
      <c r="AT45" s="79"/>
      <c r="AU45" s="79"/>
      <c r="AV45" s="79"/>
      <c r="AW45" s="79"/>
    </row>
    <row r="46" spans="1:49" s="78" customFormat="1" ht="19.899999999999999" customHeight="1">
      <c r="A46" s="119"/>
      <c r="B46" s="120"/>
      <c r="C46" s="121"/>
      <c r="D46" s="121"/>
      <c r="E46" s="121"/>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L46" s="79"/>
      <c r="AM46" s="79"/>
      <c r="AN46" s="79"/>
      <c r="AO46" s="79"/>
      <c r="AP46" s="79"/>
      <c r="AQ46" s="79"/>
      <c r="AR46" s="79"/>
      <c r="AS46" s="79"/>
      <c r="AT46" s="79"/>
      <c r="AU46" s="79"/>
      <c r="AV46" s="79"/>
      <c r="AW46" s="79"/>
    </row>
    <row r="47" spans="1:49" s="78" customFormat="1" ht="19.899999999999999" customHeight="1">
      <c r="A47" s="119"/>
      <c r="B47" s="120"/>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L47" s="79"/>
      <c r="AM47" s="79"/>
      <c r="AN47" s="79"/>
      <c r="AO47" s="79"/>
      <c r="AP47" s="79"/>
      <c r="AQ47" s="79"/>
      <c r="AR47" s="79"/>
      <c r="AS47" s="79"/>
      <c r="AT47" s="79"/>
      <c r="AU47" s="79"/>
      <c r="AV47" s="79"/>
      <c r="AW47" s="79"/>
    </row>
    <row r="48" spans="1:49" s="78" customFormat="1" ht="19.899999999999999" customHeight="1">
      <c r="A48" s="119"/>
      <c r="B48" s="120"/>
      <c r="C48" s="121"/>
      <c r="D48" s="121"/>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L48" s="79"/>
      <c r="AM48" s="79"/>
      <c r="AN48" s="79"/>
      <c r="AO48" s="79"/>
      <c r="AP48" s="79"/>
      <c r="AQ48" s="79"/>
      <c r="AR48" s="79"/>
      <c r="AS48" s="79"/>
      <c r="AT48" s="79"/>
      <c r="AU48" s="79"/>
      <c r="AV48" s="79"/>
      <c r="AW48" s="79"/>
    </row>
    <row r="49" spans="1:49" s="78" customFormat="1" ht="19.899999999999999" customHeight="1">
      <c r="A49" s="119"/>
      <c r="B49" s="120"/>
      <c r="C49" s="121"/>
      <c r="D49" s="121"/>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L49" s="79"/>
      <c r="AM49" s="79"/>
      <c r="AN49" s="79"/>
      <c r="AO49" s="79"/>
      <c r="AP49" s="79"/>
      <c r="AQ49" s="79"/>
      <c r="AR49" s="79"/>
      <c r="AS49" s="79"/>
      <c r="AT49" s="79"/>
      <c r="AU49" s="79"/>
      <c r="AV49" s="79"/>
      <c r="AW49" s="79"/>
    </row>
    <row r="50" spans="1:49" s="78" customFormat="1" ht="15.75">
      <c r="A50" s="119"/>
      <c r="B50" s="120"/>
      <c r="C50" s="121"/>
      <c r="D50" s="121"/>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L50" s="79"/>
      <c r="AM50" s="79"/>
      <c r="AN50" s="79"/>
      <c r="AO50" s="79"/>
      <c r="AP50" s="79"/>
      <c r="AQ50" s="79"/>
      <c r="AR50" s="79"/>
      <c r="AS50" s="79"/>
      <c r="AT50" s="79"/>
      <c r="AU50" s="79"/>
      <c r="AV50" s="79"/>
      <c r="AW50" s="79"/>
    </row>
    <row r="51" spans="1:49" s="78" customFormat="1" ht="15.75">
      <c r="A51" s="119"/>
      <c r="B51" s="120"/>
      <c r="C51" s="121"/>
      <c r="D51" s="121"/>
      <c r="E51" s="121"/>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L51" s="79"/>
      <c r="AM51" s="79"/>
      <c r="AN51" s="79"/>
      <c r="AO51" s="79"/>
      <c r="AP51" s="79"/>
      <c r="AQ51" s="79"/>
      <c r="AR51" s="79"/>
      <c r="AS51" s="79"/>
      <c r="AT51" s="79"/>
      <c r="AU51" s="79"/>
      <c r="AV51" s="79"/>
      <c r="AW51" s="79"/>
    </row>
    <row r="52" spans="1:49" s="78" customFormat="1" ht="15.75">
      <c r="A52" s="119"/>
      <c r="B52" s="120"/>
      <c r="C52" s="121"/>
      <c r="D52" s="121"/>
      <c r="E52" s="12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L52" s="79"/>
      <c r="AM52" s="79"/>
      <c r="AN52" s="79"/>
      <c r="AO52" s="79"/>
      <c r="AP52" s="79"/>
      <c r="AQ52" s="79"/>
      <c r="AR52" s="79"/>
      <c r="AS52" s="79"/>
      <c r="AT52" s="79"/>
      <c r="AU52" s="79"/>
      <c r="AV52" s="79"/>
      <c r="AW52" s="79"/>
    </row>
    <row r="53" spans="1:49" s="78" customFormat="1" ht="15.75">
      <c r="A53" s="119"/>
      <c r="B53" s="120"/>
      <c r="C53" s="121"/>
      <c r="D53" s="121"/>
      <c r="E53" s="1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L53" s="79"/>
      <c r="AM53" s="79"/>
      <c r="AN53" s="79"/>
      <c r="AO53" s="79"/>
      <c r="AP53" s="79"/>
      <c r="AQ53" s="79"/>
      <c r="AR53" s="79"/>
      <c r="AS53" s="79"/>
      <c r="AT53" s="79"/>
      <c r="AU53" s="79"/>
      <c r="AV53" s="79"/>
      <c r="AW53" s="79"/>
    </row>
    <row r="54" spans="1:49" s="78" customFormat="1" ht="15.75">
      <c r="A54" s="119"/>
      <c r="B54" s="120"/>
      <c r="C54" s="121"/>
      <c r="D54" s="121"/>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L54" s="79"/>
      <c r="AM54" s="79"/>
      <c r="AN54" s="79"/>
      <c r="AO54" s="79"/>
      <c r="AP54" s="79"/>
      <c r="AQ54" s="79"/>
      <c r="AR54" s="79"/>
      <c r="AS54" s="79"/>
      <c r="AT54" s="79"/>
      <c r="AU54" s="79"/>
      <c r="AV54" s="79"/>
      <c r="AW54" s="79"/>
    </row>
    <row r="55" spans="1:49" s="78" customFormat="1" ht="15.75">
      <c r="A55" s="119"/>
      <c r="B55" s="120"/>
      <c r="C55" s="121"/>
      <c r="D55" s="121"/>
      <c r="E55" s="121"/>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L55" s="79"/>
      <c r="AM55" s="79"/>
      <c r="AN55" s="79"/>
      <c r="AO55" s="79"/>
      <c r="AP55" s="79"/>
      <c r="AQ55" s="79"/>
      <c r="AR55" s="79"/>
      <c r="AS55" s="79"/>
      <c r="AT55" s="79"/>
      <c r="AU55" s="79"/>
      <c r="AV55" s="79"/>
      <c r="AW55" s="79"/>
    </row>
    <row r="56" spans="1:49" s="78" customFormat="1" ht="15.75">
      <c r="A56" s="119"/>
      <c r="B56" s="120"/>
      <c r="C56" s="121"/>
      <c r="D56" s="121"/>
      <c r="E56" s="121"/>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L56" s="79"/>
      <c r="AM56" s="79"/>
      <c r="AN56" s="79"/>
      <c r="AO56" s="79"/>
      <c r="AP56" s="79"/>
      <c r="AQ56" s="79"/>
      <c r="AR56" s="79"/>
      <c r="AS56" s="79"/>
      <c r="AT56" s="79"/>
      <c r="AU56" s="79"/>
      <c r="AV56" s="79"/>
      <c r="AW56" s="79"/>
    </row>
    <row r="57" spans="1:49" s="78" customFormat="1" ht="15.75">
      <c r="A57" s="119"/>
      <c r="B57" s="120"/>
      <c r="C57" s="121"/>
      <c r="D57" s="121"/>
      <c r="E57" s="121"/>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L57" s="79"/>
      <c r="AM57" s="79"/>
      <c r="AN57" s="79"/>
      <c r="AO57" s="79"/>
      <c r="AP57" s="79"/>
      <c r="AQ57" s="79"/>
      <c r="AR57" s="79"/>
      <c r="AS57" s="79"/>
      <c r="AT57" s="79"/>
      <c r="AU57" s="79"/>
      <c r="AV57" s="79"/>
      <c r="AW57" s="79"/>
    </row>
    <row r="58" spans="1:49" s="78" customFormat="1" ht="15.75">
      <c r="A58" s="119"/>
      <c r="B58" s="120"/>
      <c r="C58" s="121"/>
      <c r="D58" s="121"/>
      <c r="E58" s="121"/>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L58" s="79"/>
      <c r="AM58" s="79"/>
      <c r="AN58" s="79"/>
      <c r="AO58" s="79"/>
      <c r="AP58" s="79"/>
      <c r="AQ58" s="79"/>
      <c r="AR58" s="79"/>
      <c r="AS58" s="79"/>
      <c r="AT58" s="79"/>
      <c r="AU58" s="79"/>
      <c r="AV58" s="79"/>
      <c r="AW58" s="79"/>
    </row>
    <row r="59" spans="1:49" s="78" customFormat="1" ht="15.75">
      <c r="A59" s="119"/>
      <c r="B59" s="120"/>
      <c r="C59" s="121"/>
      <c r="D59" s="121"/>
      <c r="E59" s="121"/>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L59" s="79"/>
      <c r="AM59" s="79"/>
      <c r="AN59" s="79"/>
      <c r="AO59" s="79"/>
      <c r="AP59" s="79"/>
      <c r="AQ59" s="79"/>
      <c r="AR59" s="79"/>
      <c r="AS59" s="79"/>
      <c r="AT59" s="79"/>
      <c r="AU59" s="79"/>
      <c r="AV59" s="79"/>
      <c r="AW59" s="79"/>
    </row>
    <row r="60" spans="1:49" s="78" customFormat="1" ht="15.75">
      <c r="A60" s="119"/>
      <c r="B60" s="120"/>
      <c r="C60" s="121"/>
      <c r="D60" s="121"/>
      <c r="E60" s="121"/>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L60" s="79"/>
      <c r="AM60" s="79"/>
      <c r="AN60" s="79"/>
      <c r="AO60" s="79"/>
      <c r="AP60" s="79"/>
      <c r="AQ60" s="79"/>
      <c r="AR60" s="79"/>
      <c r="AS60" s="79"/>
      <c r="AT60" s="79"/>
      <c r="AU60" s="79"/>
      <c r="AV60" s="79"/>
      <c r="AW60" s="79"/>
    </row>
    <row r="61" spans="1:49" s="78" customFormat="1" ht="15.75">
      <c r="A61" s="119"/>
      <c r="B61" s="120"/>
      <c r="C61" s="121"/>
      <c r="D61" s="121"/>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L61" s="79"/>
      <c r="AM61" s="79"/>
      <c r="AN61" s="79"/>
      <c r="AO61" s="79"/>
      <c r="AP61" s="79"/>
      <c r="AQ61" s="79"/>
      <c r="AR61" s="79"/>
      <c r="AS61" s="79"/>
      <c r="AT61" s="79"/>
      <c r="AU61" s="79"/>
      <c r="AV61" s="79"/>
      <c r="AW61" s="79"/>
    </row>
    <row r="62" spans="1:49" s="78" customFormat="1" ht="15.75">
      <c r="A62" s="119"/>
      <c r="B62" s="120"/>
      <c r="C62" s="121"/>
      <c r="D62" s="121"/>
      <c r="E62" s="121"/>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L62" s="79"/>
      <c r="AM62" s="79"/>
      <c r="AN62" s="79"/>
      <c r="AO62" s="79"/>
      <c r="AP62" s="79"/>
      <c r="AQ62" s="79"/>
      <c r="AR62" s="79"/>
      <c r="AS62" s="79"/>
      <c r="AT62" s="79"/>
      <c r="AU62" s="79"/>
      <c r="AV62" s="79"/>
      <c r="AW62" s="79"/>
    </row>
    <row r="63" spans="1:49" s="78" customFormat="1" ht="15.75">
      <c r="A63" s="119"/>
      <c r="B63" s="120"/>
      <c r="C63" s="121"/>
      <c r="D63" s="121"/>
      <c r="E63" s="121"/>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L63" s="79"/>
      <c r="AM63" s="79"/>
      <c r="AN63" s="79"/>
      <c r="AO63" s="79"/>
      <c r="AP63" s="79"/>
      <c r="AQ63" s="79"/>
      <c r="AR63" s="79"/>
      <c r="AS63" s="79"/>
      <c r="AT63" s="79"/>
      <c r="AU63" s="79"/>
      <c r="AV63" s="79"/>
      <c r="AW63" s="79"/>
    </row>
    <row r="64" spans="1:49" s="78" customFormat="1" ht="15.75">
      <c r="A64" s="119"/>
      <c r="B64" s="120"/>
      <c r="C64" s="121"/>
      <c r="D64" s="121"/>
      <c r="E64" s="12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L64" s="79"/>
      <c r="AM64" s="79"/>
      <c r="AN64" s="79"/>
      <c r="AO64" s="79"/>
      <c r="AP64" s="79"/>
      <c r="AQ64" s="79"/>
      <c r="AR64" s="79"/>
      <c r="AS64" s="79"/>
      <c r="AT64" s="79"/>
      <c r="AU64" s="79"/>
      <c r="AV64" s="79"/>
      <c r="AW64" s="79"/>
    </row>
    <row r="65" spans="1:49" s="78" customFormat="1" ht="15.75">
      <c r="A65" s="119"/>
      <c r="B65" s="120"/>
      <c r="C65" s="121"/>
      <c r="D65" s="121"/>
      <c r="E65" s="12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L65" s="79"/>
      <c r="AM65" s="79"/>
      <c r="AN65" s="79"/>
      <c r="AO65" s="79"/>
      <c r="AP65" s="79"/>
      <c r="AQ65" s="79"/>
      <c r="AR65" s="79"/>
      <c r="AS65" s="79"/>
      <c r="AT65" s="79"/>
      <c r="AU65" s="79"/>
      <c r="AV65" s="79"/>
      <c r="AW65" s="79"/>
    </row>
    <row r="66" spans="1:49" s="78" customFormat="1" ht="15.75">
      <c r="A66" s="119"/>
      <c r="B66" s="120"/>
      <c r="C66" s="121"/>
      <c r="D66" s="121"/>
      <c r="E66" s="12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L66" s="79"/>
      <c r="AM66" s="79"/>
      <c r="AN66" s="79"/>
      <c r="AO66" s="79"/>
      <c r="AP66" s="79"/>
      <c r="AQ66" s="79"/>
      <c r="AR66" s="79"/>
      <c r="AS66" s="79"/>
      <c r="AT66" s="79"/>
      <c r="AU66" s="79"/>
      <c r="AV66" s="79"/>
      <c r="AW66" s="79"/>
    </row>
    <row r="67" spans="1:49" s="78" customFormat="1" ht="15.75">
      <c r="A67" s="119"/>
      <c r="B67" s="120"/>
      <c r="C67" s="121"/>
      <c r="D67" s="121"/>
      <c r="E67" s="12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L67" s="79"/>
      <c r="AM67" s="79"/>
      <c r="AN67" s="79"/>
      <c r="AO67" s="79"/>
      <c r="AP67" s="79"/>
      <c r="AQ67" s="79"/>
      <c r="AR67" s="79"/>
      <c r="AS67" s="79"/>
      <c r="AT67" s="79"/>
      <c r="AU67" s="79"/>
      <c r="AV67" s="79"/>
      <c r="AW67" s="79"/>
    </row>
    <row r="68" spans="1:49" s="78" customFormat="1" ht="15.75">
      <c r="A68" s="119"/>
      <c r="B68" s="120"/>
      <c r="C68" s="121"/>
      <c r="D68" s="121"/>
      <c r="E68" s="12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L68" s="79"/>
      <c r="AM68" s="79"/>
      <c r="AN68" s="79"/>
      <c r="AO68" s="79"/>
      <c r="AP68" s="79"/>
      <c r="AQ68" s="79"/>
      <c r="AR68" s="79"/>
      <c r="AS68" s="79"/>
      <c r="AT68" s="79"/>
      <c r="AU68" s="79"/>
      <c r="AV68" s="79"/>
      <c r="AW68" s="79"/>
    </row>
    <row r="69" spans="1:49" s="78" customFormat="1" ht="15.75">
      <c r="A69" s="119"/>
      <c r="B69" s="120"/>
      <c r="C69" s="121"/>
      <c r="D69" s="121"/>
      <c r="E69" s="12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L69" s="79"/>
      <c r="AM69" s="79"/>
      <c r="AN69" s="79"/>
      <c r="AO69" s="79"/>
      <c r="AP69" s="79"/>
      <c r="AQ69" s="79"/>
      <c r="AR69" s="79"/>
      <c r="AS69" s="79"/>
      <c r="AT69" s="79"/>
      <c r="AU69" s="79"/>
      <c r="AV69" s="79"/>
      <c r="AW69" s="79"/>
    </row>
    <row r="70" spans="1:49" s="78" customFormat="1" ht="15.75">
      <c r="A70" s="119"/>
      <c r="B70" s="120"/>
      <c r="C70" s="121"/>
      <c r="D70" s="121"/>
      <c r="E70" s="12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L70" s="79"/>
      <c r="AM70" s="79"/>
      <c r="AN70" s="79"/>
      <c r="AO70" s="79"/>
      <c r="AP70" s="79"/>
      <c r="AQ70" s="79"/>
      <c r="AR70" s="79"/>
      <c r="AS70" s="79"/>
      <c r="AT70" s="79"/>
      <c r="AU70" s="79"/>
      <c r="AV70" s="79"/>
      <c r="AW70" s="79"/>
    </row>
    <row r="71" spans="1:49" s="78" customFormat="1" ht="15.75">
      <c r="A71" s="119"/>
      <c r="B71" s="120"/>
      <c r="C71" s="121"/>
      <c r="D71" s="121"/>
      <c r="E71" s="12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L71" s="79"/>
      <c r="AM71" s="79"/>
      <c r="AN71" s="79"/>
      <c r="AO71" s="79"/>
      <c r="AP71" s="79"/>
      <c r="AQ71" s="79"/>
      <c r="AR71" s="79"/>
      <c r="AS71" s="79"/>
      <c r="AT71" s="79"/>
      <c r="AU71" s="79"/>
      <c r="AV71" s="79"/>
      <c r="AW71" s="79"/>
    </row>
    <row r="72" spans="1:49" s="78" customFormat="1" ht="15.75">
      <c r="A72" s="119"/>
      <c r="B72" s="120"/>
      <c r="C72" s="121"/>
      <c r="D72" s="121"/>
      <c r="E72" s="12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L72" s="79"/>
      <c r="AM72" s="79"/>
      <c r="AN72" s="79"/>
      <c r="AO72" s="79"/>
      <c r="AP72" s="79"/>
      <c r="AQ72" s="79"/>
      <c r="AR72" s="79"/>
      <c r="AS72" s="79"/>
      <c r="AT72" s="79"/>
      <c r="AU72" s="79"/>
      <c r="AV72" s="79"/>
      <c r="AW72" s="79"/>
    </row>
    <row r="73" spans="1:49" s="78" customFormat="1" ht="15.75">
      <c r="A73" s="119"/>
      <c r="B73" s="120"/>
      <c r="C73" s="121"/>
      <c r="D73" s="121"/>
      <c r="E73" s="12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L73" s="79"/>
      <c r="AM73" s="79"/>
      <c r="AN73" s="79"/>
      <c r="AO73" s="79"/>
      <c r="AP73" s="79"/>
      <c r="AQ73" s="79"/>
      <c r="AR73" s="79"/>
      <c r="AS73" s="79"/>
      <c r="AT73" s="79"/>
      <c r="AU73" s="79"/>
      <c r="AV73" s="79"/>
      <c r="AW73" s="79"/>
    </row>
    <row r="74" spans="1:49" s="78" customFormat="1" ht="15.75">
      <c r="A74" s="119"/>
      <c r="B74" s="120"/>
      <c r="C74" s="121"/>
      <c r="D74" s="121"/>
      <c r="E74" s="12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L74" s="79"/>
      <c r="AM74" s="79"/>
      <c r="AN74" s="79"/>
      <c r="AO74" s="79"/>
      <c r="AP74" s="79"/>
      <c r="AQ74" s="79"/>
      <c r="AR74" s="79"/>
      <c r="AS74" s="79"/>
      <c r="AT74" s="79"/>
      <c r="AU74" s="79"/>
      <c r="AV74" s="79"/>
      <c r="AW74" s="79"/>
    </row>
    <row r="75" spans="1:49" s="78" customFormat="1" ht="15.75">
      <c r="A75" s="119"/>
      <c r="B75" s="120"/>
      <c r="C75" s="121"/>
      <c r="D75" s="121"/>
      <c r="E75" s="12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L75" s="79"/>
      <c r="AM75" s="79"/>
      <c r="AN75" s="79"/>
      <c r="AO75" s="79"/>
      <c r="AP75" s="79"/>
      <c r="AQ75" s="79"/>
      <c r="AR75" s="79"/>
      <c r="AS75" s="79"/>
      <c r="AT75" s="79"/>
      <c r="AU75" s="79"/>
      <c r="AV75" s="79"/>
      <c r="AW75" s="79"/>
    </row>
    <row r="76" spans="1:49" s="78" customFormat="1" ht="15.75">
      <c r="A76" s="119"/>
      <c r="B76" s="120"/>
      <c r="C76" s="121"/>
      <c r="D76" s="121"/>
      <c r="E76" s="12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L76" s="79"/>
      <c r="AM76" s="79"/>
      <c r="AN76" s="79"/>
      <c r="AO76" s="79"/>
      <c r="AP76" s="79"/>
      <c r="AQ76" s="79"/>
      <c r="AR76" s="79"/>
      <c r="AS76" s="79"/>
      <c r="AT76" s="79"/>
      <c r="AU76" s="79"/>
      <c r="AV76" s="79"/>
      <c r="AW76" s="79"/>
    </row>
    <row r="77" spans="1:49" s="78" customFormat="1" ht="15.75">
      <c r="A77" s="119"/>
      <c r="B77" s="120"/>
      <c r="C77" s="121"/>
      <c r="D77" s="121"/>
      <c r="E77" s="12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L77" s="79"/>
      <c r="AM77" s="79"/>
      <c r="AN77" s="79"/>
      <c r="AO77" s="79"/>
      <c r="AP77" s="79"/>
      <c r="AQ77" s="79"/>
      <c r="AR77" s="79"/>
      <c r="AS77" s="79"/>
      <c r="AT77" s="79"/>
      <c r="AU77" s="79"/>
      <c r="AV77" s="79"/>
      <c r="AW77" s="79"/>
    </row>
    <row r="78" spans="1:49" s="78" customFormat="1" ht="15.75">
      <c r="A78" s="119"/>
      <c r="B78" s="120"/>
      <c r="C78" s="121"/>
      <c r="D78" s="121"/>
      <c r="E78" s="12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L78" s="79"/>
      <c r="AM78" s="79"/>
      <c r="AN78" s="79"/>
      <c r="AO78" s="79"/>
      <c r="AP78" s="79"/>
      <c r="AQ78" s="79"/>
      <c r="AR78" s="79"/>
      <c r="AS78" s="79"/>
      <c r="AT78" s="79"/>
      <c r="AU78" s="79"/>
      <c r="AV78" s="79"/>
      <c r="AW78" s="79"/>
    </row>
    <row r="79" spans="1:49" s="78" customFormat="1" ht="15.75">
      <c r="A79" s="119"/>
      <c r="B79" s="120"/>
      <c r="C79" s="121"/>
      <c r="D79" s="121"/>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L79" s="79"/>
      <c r="AM79" s="79"/>
      <c r="AN79" s="79"/>
      <c r="AO79" s="79"/>
      <c r="AP79" s="79"/>
      <c r="AQ79" s="79"/>
      <c r="AR79" s="79"/>
      <c r="AS79" s="79"/>
      <c r="AT79" s="79"/>
      <c r="AU79" s="79"/>
      <c r="AV79" s="79"/>
      <c r="AW79" s="79"/>
    </row>
    <row r="80" spans="1:49" s="78" customFormat="1" ht="15.75">
      <c r="A80" s="119"/>
      <c r="B80" s="120"/>
      <c r="C80" s="121"/>
      <c r="D80" s="121"/>
      <c r="E80" s="12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L80" s="79"/>
      <c r="AM80" s="79"/>
      <c r="AN80" s="79"/>
      <c r="AO80" s="79"/>
      <c r="AP80" s="79"/>
      <c r="AQ80" s="79"/>
      <c r="AR80" s="79"/>
      <c r="AS80" s="79"/>
      <c r="AT80" s="79"/>
      <c r="AU80" s="79"/>
      <c r="AV80" s="79"/>
      <c r="AW80" s="79"/>
    </row>
    <row r="81" spans="1:49" s="78" customFormat="1" ht="15.75">
      <c r="A81" s="119"/>
      <c r="B81" s="120"/>
      <c r="C81" s="121"/>
      <c r="D81" s="121"/>
      <c r="E81" s="12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L81" s="79"/>
      <c r="AM81" s="79"/>
      <c r="AN81" s="79"/>
      <c r="AO81" s="79"/>
      <c r="AP81" s="79"/>
      <c r="AQ81" s="79"/>
      <c r="AR81" s="79"/>
      <c r="AS81" s="79"/>
      <c r="AT81" s="79"/>
      <c r="AU81" s="79"/>
      <c r="AV81" s="79"/>
      <c r="AW81" s="79"/>
    </row>
    <row r="82" spans="1:49" s="78" customFormat="1" ht="15.75">
      <c r="A82" s="119"/>
      <c r="B82" s="120"/>
      <c r="C82" s="121"/>
      <c r="D82" s="121"/>
      <c r="E82" s="12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L82" s="79"/>
      <c r="AM82" s="79"/>
      <c r="AN82" s="79"/>
      <c r="AO82" s="79"/>
      <c r="AP82" s="79"/>
      <c r="AQ82" s="79"/>
      <c r="AR82" s="79"/>
      <c r="AS82" s="79"/>
      <c r="AT82" s="79"/>
      <c r="AU82" s="79"/>
      <c r="AV82" s="79"/>
      <c r="AW82" s="79"/>
    </row>
    <row r="83" spans="1:49" s="78" customFormat="1" ht="15.75">
      <c r="A83" s="119"/>
      <c r="B83" s="120"/>
      <c r="C83" s="121"/>
      <c r="D83" s="121"/>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L83" s="79"/>
      <c r="AM83" s="79"/>
      <c r="AN83" s="79"/>
      <c r="AO83" s="79"/>
      <c r="AP83" s="79"/>
      <c r="AQ83" s="79"/>
      <c r="AR83" s="79"/>
      <c r="AS83" s="79"/>
      <c r="AT83" s="79"/>
      <c r="AU83" s="79"/>
      <c r="AV83" s="79"/>
      <c r="AW83" s="79"/>
    </row>
    <row r="84" spans="1:49" s="78" customFormat="1" ht="15.75">
      <c r="A84" s="119"/>
      <c r="B84" s="120"/>
      <c r="C84" s="121"/>
      <c r="D84" s="121"/>
      <c r="E84" s="12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L84" s="79"/>
      <c r="AM84" s="79"/>
      <c r="AN84" s="79"/>
      <c r="AO84" s="79"/>
      <c r="AP84" s="79"/>
      <c r="AQ84" s="79"/>
      <c r="AR84" s="79"/>
      <c r="AS84" s="79"/>
      <c r="AT84" s="79"/>
      <c r="AU84" s="79"/>
      <c r="AV84" s="79"/>
      <c r="AW84" s="79"/>
    </row>
    <row r="85" spans="1:49" s="78" customFormat="1" ht="15.75">
      <c r="A85" s="119"/>
      <c r="B85" s="120"/>
      <c r="C85" s="121"/>
      <c r="D85" s="121"/>
      <c r="E85" s="12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L85" s="79"/>
      <c r="AM85" s="79"/>
      <c r="AN85" s="79"/>
      <c r="AO85" s="79"/>
      <c r="AP85" s="79"/>
      <c r="AQ85" s="79"/>
      <c r="AR85" s="79"/>
      <c r="AS85" s="79"/>
      <c r="AT85" s="79"/>
      <c r="AU85" s="79"/>
      <c r="AV85" s="79"/>
      <c r="AW85" s="79"/>
    </row>
    <row r="86" spans="1:49" s="78" customFormat="1" ht="15.75">
      <c r="A86" s="119"/>
      <c r="B86" s="120"/>
      <c r="C86" s="121"/>
      <c r="D86" s="121"/>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L86" s="79"/>
      <c r="AM86" s="79"/>
      <c r="AN86" s="79"/>
      <c r="AO86" s="79"/>
      <c r="AP86" s="79"/>
      <c r="AQ86" s="79"/>
      <c r="AR86" s="79"/>
      <c r="AS86" s="79"/>
      <c r="AT86" s="79"/>
      <c r="AU86" s="79"/>
      <c r="AV86" s="79"/>
      <c r="AW86" s="79"/>
    </row>
    <row r="87" spans="1:49" s="78" customFormat="1" ht="15.75">
      <c r="A87" s="119"/>
      <c r="B87" s="120"/>
      <c r="C87" s="121"/>
      <c r="D87" s="121"/>
      <c r="E87" s="12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L87" s="79"/>
      <c r="AM87" s="79"/>
      <c r="AN87" s="79"/>
      <c r="AO87" s="79"/>
      <c r="AP87" s="79"/>
      <c r="AQ87" s="79"/>
      <c r="AR87" s="79"/>
      <c r="AS87" s="79"/>
      <c r="AT87" s="79"/>
      <c r="AU87" s="79"/>
      <c r="AV87" s="79"/>
      <c r="AW87" s="79"/>
    </row>
    <row r="88" spans="1:49" s="78" customFormat="1" ht="15.75">
      <c r="A88" s="119"/>
      <c r="B88" s="120"/>
      <c r="C88" s="121"/>
      <c r="D88" s="121"/>
      <c r="E88" s="12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L88" s="79"/>
      <c r="AM88" s="79"/>
      <c r="AN88" s="79"/>
      <c r="AO88" s="79"/>
      <c r="AP88" s="79"/>
      <c r="AQ88" s="79"/>
      <c r="AR88" s="79"/>
      <c r="AS88" s="79"/>
      <c r="AT88" s="79"/>
      <c r="AU88" s="79"/>
      <c r="AV88" s="79"/>
      <c r="AW88" s="79"/>
    </row>
    <row r="89" spans="1:49" s="78" customFormat="1" ht="15.75">
      <c r="A89" s="119"/>
      <c r="B89" s="120"/>
      <c r="C89" s="121"/>
      <c r="D89" s="121"/>
      <c r="E89" s="12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L89" s="79"/>
      <c r="AM89" s="79"/>
      <c r="AN89" s="79"/>
      <c r="AO89" s="79"/>
      <c r="AP89" s="79"/>
      <c r="AQ89" s="79"/>
      <c r="AR89" s="79"/>
      <c r="AS89" s="79"/>
      <c r="AT89" s="79"/>
      <c r="AU89" s="79"/>
      <c r="AV89" s="79"/>
      <c r="AW89" s="79"/>
    </row>
    <row r="90" spans="1:49" s="78" customFormat="1" ht="15.75">
      <c r="A90" s="119"/>
      <c r="B90" s="120"/>
      <c r="C90" s="121"/>
      <c r="D90" s="121"/>
      <c r="E90" s="12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L90" s="79"/>
      <c r="AM90" s="79"/>
      <c r="AN90" s="79"/>
      <c r="AO90" s="79"/>
      <c r="AP90" s="79"/>
      <c r="AQ90" s="79"/>
      <c r="AR90" s="79"/>
      <c r="AS90" s="79"/>
      <c r="AT90" s="79"/>
      <c r="AU90" s="79"/>
      <c r="AV90" s="79"/>
      <c r="AW90" s="79"/>
    </row>
    <row r="91" spans="1:49" s="78" customFormat="1" ht="15.75">
      <c r="A91" s="119"/>
      <c r="B91" s="120"/>
      <c r="C91" s="121"/>
      <c r="D91" s="121"/>
      <c r="E91" s="12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L91" s="79"/>
      <c r="AM91" s="79"/>
      <c r="AN91" s="79"/>
      <c r="AO91" s="79"/>
      <c r="AP91" s="79"/>
      <c r="AQ91" s="79"/>
      <c r="AR91" s="79"/>
      <c r="AS91" s="79"/>
      <c r="AT91" s="79"/>
      <c r="AU91" s="79"/>
      <c r="AV91" s="79"/>
      <c r="AW91" s="79"/>
    </row>
    <row r="92" spans="1:49" s="78" customFormat="1" ht="15.75">
      <c r="A92" s="119"/>
      <c r="B92" s="120"/>
      <c r="C92" s="121"/>
      <c r="D92" s="121"/>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L92" s="79"/>
      <c r="AM92" s="79"/>
      <c r="AN92" s="79"/>
      <c r="AO92" s="79"/>
      <c r="AP92" s="79"/>
      <c r="AQ92" s="79"/>
      <c r="AR92" s="79"/>
      <c r="AS92" s="79"/>
      <c r="AT92" s="79"/>
      <c r="AU92" s="79"/>
      <c r="AV92" s="79"/>
      <c r="AW92" s="79"/>
    </row>
    <row r="93" spans="1:49" s="78" customFormat="1" ht="15.75">
      <c r="A93" s="119"/>
      <c r="B93" s="120"/>
      <c r="C93" s="121"/>
      <c r="D93" s="121"/>
      <c r="E93" s="12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L93" s="79"/>
      <c r="AM93" s="79"/>
      <c r="AN93" s="79"/>
      <c r="AO93" s="79"/>
      <c r="AP93" s="79"/>
      <c r="AQ93" s="79"/>
      <c r="AR93" s="79"/>
      <c r="AS93" s="79"/>
      <c r="AT93" s="79"/>
      <c r="AU93" s="79"/>
      <c r="AV93" s="79"/>
      <c r="AW93" s="79"/>
    </row>
    <row r="94" spans="1:49" s="78" customFormat="1" ht="15.75">
      <c r="A94" s="119"/>
      <c r="B94" s="120"/>
      <c r="C94" s="121"/>
      <c r="D94" s="121"/>
      <c r="E94" s="12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L94" s="79"/>
      <c r="AM94" s="79"/>
      <c r="AN94" s="79"/>
      <c r="AO94" s="79"/>
      <c r="AP94" s="79"/>
      <c r="AQ94" s="79"/>
      <c r="AR94" s="79"/>
      <c r="AS94" s="79"/>
      <c r="AT94" s="79"/>
      <c r="AU94" s="79"/>
      <c r="AV94" s="79"/>
      <c r="AW94" s="79"/>
    </row>
    <row r="95" spans="1:49" s="78" customFormat="1" ht="15.75">
      <c r="A95" s="119"/>
      <c r="B95" s="120"/>
      <c r="C95" s="121"/>
      <c r="D95" s="121"/>
      <c r="E95" s="12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L95" s="79"/>
      <c r="AM95" s="79"/>
      <c r="AN95" s="79"/>
      <c r="AO95" s="79"/>
      <c r="AP95" s="79"/>
      <c r="AQ95" s="79"/>
      <c r="AR95" s="79"/>
      <c r="AS95" s="79"/>
      <c r="AT95" s="79"/>
      <c r="AU95" s="79"/>
      <c r="AV95" s="79"/>
      <c r="AW95" s="79"/>
    </row>
    <row r="96" spans="1:49" s="78" customFormat="1" ht="15.75">
      <c r="A96" s="119"/>
      <c r="B96" s="120"/>
      <c r="C96" s="121"/>
      <c r="D96" s="121"/>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L96" s="79"/>
      <c r="AM96" s="79"/>
      <c r="AN96" s="79"/>
      <c r="AO96" s="79"/>
      <c r="AP96" s="79"/>
      <c r="AQ96" s="79"/>
      <c r="AR96" s="79"/>
      <c r="AS96" s="79"/>
      <c r="AT96" s="79"/>
      <c r="AU96" s="79"/>
      <c r="AV96" s="79"/>
      <c r="AW96" s="79"/>
    </row>
    <row r="97" spans="1:49" s="78" customFormat="1" ht="15.75">
      <c r="A97" s="119"/>
      <c r="B97" s="120"/>
      <c r="C97" s="121"/>
      <c r="D97" s="121"/>
      <c r="E97" s="12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L97" s="79"/>
      <c r="AM97" s="79"/>
      <c r="AN97" s="79"/>
      <c r="AO97" s="79"/>
      <c r="AP97" s="79"/>
      <c r="AQ97" s="79"/>
      <c r="AR97" s="79"/>
      <c r="AS97" s="79"/>
      <c r="AT97" s="79"/>
      <c r="AU97" s="79"/>
      <c r="AV97" s="79"/>
      <c r="AW97" s="79"/>
    </row>
    <row r="98" spans="1:49" s="78" customFormat="1" ht="15.75">
      <c r="A98" s="119"/>
      <c r="B98" s="120"/>
      <c r="C98" s="121"/>
      <c r="D98" s="121"/>
      <c r="E98" s="12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L98" s="79"/>
      <c r="AM98" s="79"/>
      <c r="AN98" s="79"/>
      <c r="AO98" s="79"/>
      <c r="AP98" s="79"/>
      <c r="AQ98" s="79"/>
      <c r="AR98" s="79"/>
      <c r="AS98" s="79"/>
      <c r="AT98" s="79"/>
      <c r="AU98" s="79"/>
      <c r="AV98" s="79"/>
      <c r="AW98" s="79"/>
    </row>
    <row r="99" spans="1:49" s="78" customFormat="1" ht="15.75">
      <c r="A99" s="119"/>
      <c r="B99" s="120"/>
      <c r="C99" s="121"/>
      <c r="D99" s="121"/>
      <c r="E99" s="12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L99" s="79"/>
      <c r="AM99" s="79"/>
      <c r="AN99" s="79"/>
      <c r="AO99" s="79"/>
      <c r="AP99" s="79"/>
      <c r="AQ99" s="79"/>
      <c r="AR99" s="79"/>
      <c r="AS99" s="79"/>
      <c r="AT99" s="79"/>
      <c r="AU99" s="79"/>
      <c r="AV99" s="79"/>
      <c r="AW99" s="79"/>
    </row>
    <row r="100" spans="1:49" s="78" customFormat="1" ht="15.75">
      <c r="A100" s="119"/>
      <c r="B100" s="120"/>
      <c r="C100" s="121"/>
      <c r="D100" s="121"/>
      <c r="E100" s="12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L100" s="79"/>
      <c r="AM100" s="79"/>
      <c r="AN100" s="79"/>
      <c r="AO100" s="79"/>
      <c r="AP100" s="79"/>
      <c r="AQ100" s="79"/>
      <c r="AR100" s="79"/>
      <c r="AS100" s="79"/>
      <c r="AT100" s="79"/>
      <c r="AU100" s="79"/>
      <c r="AV100" s="79"/>
      <c r="AW100" s="79"/>
    </row>
    <row r="101" spans="1:49" s="78" customFormat="1" ht="15.75">
      <c r="A101" s="119"/>
      <c r="B101" s="120"/>
      <c r="C101" s="121"/>
      <c r="D101" s="121"/>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L101" s="79"/>
      <c r="AM101" s="79"/>
      <c r="AN101" s="79"/>
      <c r="AO101" s="79"/>
      <c r="AP101" s="79"/>
      <c r="AQ101" s="79"/>
      <c r="AR101" s="79"/>
      <c r="AS101" s="79"/>
      <c r="AT101" s="79"/>
      <c r="AU101" s="79"/>
      <c r="AV101" s="79"/>
      <c r="AW101" s="79"/>
    </row>
    <row r="102" spans="1:49" s="78" customFormat="1" ht="15.75">
      <c r="A102" s="119"/>
      <c r="B102" s="120"/>
      <c r="C102" s="121"/>
      <c r="D102" s="121"/>
      <c r="E102" s="12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L102" s="79"/>
      <c r="AM102" s="79"/>
      <c r="AN102" s="79"/>
      <c r="AO102" s="79"/>
      <c r="AP102" s="79"/>
      <c r="AQ102" s="79"/>
      <c r="AR102" s="79"/>
      <c r="AS102" s="79"/>
      <c r="AT102" s="79"/>
      <c r="AU102" s="79"/>
      <c r="AV102" s="79"/>
      <c r="AW102" s="79"/>
    </row>
    <row r="103" spans="1:49" s="78" customFormat="1" ht="15.75">
      <c r="A103" s="119"/>
      <c r="B103" s="120"/>
      <c r="C103" s="121"/>
      <c r="D103" s="121"/>
      <c r="E103" s="12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L103" s="79"/>
      <c r="AM103" s="79"/>
      <c r="AN103" s="79"/>
      <c r="AO103" s="79"/>
      <c r="AP103" s="79"/>
      <c r="AQ103" s="79"/>
      <c r="AR103" s="79"/>
      <c r="AS103" s="79"/>
      <c r="AT103" s="79"/>
      <c r="AU103" s="79"/>
      <c r="AV103" s="79"/>
      <c r="AW103" s="79"/>
    </row>
    <row r="104" spans="1:49" s="78" customFormat="1" ht="15.75">
      <c r="A104" s="119"/>
      <c r="B104" s="120"/>
      <c r="C104" s="121"/>
      <c r="D104" s="121"/>
      <c r="E104" s="12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L104" s="79"/>
      <c r="AM104" s="79"/>
      <c r="AN104" s="79"/>
      <c r="AO104" s="79"/>
      <c r="AP104" s="79"/>
      <c r="AQ104" s="79"/>
      <c r="AR104" s="79"/>
      <c r="AS104" s="79"/>
      <c r="AT104" s="79"/>
      <c r="AU104" s="79"/>
      <c r="AV104" s="79"/>
      <c r="AW104" s="79"/>
    </row>
    <row r="105" spans="1:49" s="78" customFormat="1" ht="15.75">
      <c r="A105" s="119"/>
      <c r="B105" s="120"/>
      <c r="C105" s="121"/>
      <c r="D105" s="121"/>
      <c r="E105" s="12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L105" s="79"/>
      <c r="AM105" s="79"/>
      <c r="AN105" s="79"/>
      <c r="AO105" s="79"/>
      <c r="AP105" s="79"/>
      <c r="AQ105" s="79"/>
      <c r="AR105" s="79"/>
      <c r="AS105" s="79"/>
      <c r="AT105" s="79"/>
      <c r="AU105" s="79"/>
      <c r="AV105" s="79"/>
      <c r="AW105" s="79"/>
    </row>
    <row r="106" spans="1:49" s="78" customFormat="1" ht="15.75">
      <c r="A106" s="119"/>
      <c r="B106" s="120"/>
      <c r="C106" s="121"/>
      <c r="D106" s="121"/>
      <c r="E106" s="12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L106" s="79"/>
      <c r="AM106" s="79"/>
      <c r="AN106" s="79"/>
      <c r="AO106" s="79"/>
      <c r="AP106" s="79"/>
      <c r="AQ106" s="79"/>
      <c r="AR106" s="79"/>
      <c r="AS106" s="79"/>
      <c r="AT106" s="79"/>
      <c r="AU106" s="79"/>
      <c r="AV106" s="79"/>
      <c r="AW106" s="79"/>
    </row>
    <row r="107" spans="1:49" s="78" customFormat="1" ht="15.75">
      <c r="A107" s="119"/>
      <c r="B107" s="120"/>
      <c r="C107" s="121"/>
      <c r="D107" s="121"/>
      <c r="E107" s="12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L107" s="79"/>
      <c r="AM107" s="79"/>
      <c r="AN107" s="79"/>
      <c r="AO107" s="79"/>
      <c r="AP107" s="79"/>
      <c r="AQ107" s="79"/>
      <c r="AR107" s="79"/>
      <c r="AS107" s="79"/>
      <c r="AT107" s="79"/>
      <c r="AU107" s="79"/>
      <c r="AV107" s="79"/>
      <c r="AW107" s="79"/>
    </row>
    <row r="108" spans="1:49" s="78" customFormat="1" ht="15.75">
      <c r="A108" s="119"/>
      <c r="B108" s="120"/>
      <c r="C108" s="121"/>
      <c r="D108" s="121"/>
      <c r="E108" s="12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L108" s="79"/>
      <c r="AM108" s="79"/>
      <c r="AN108" s="79"/>
      <c r="AO108" s="79"/>
      <c r="AP108" s="79"/>
      <c r="AQ108" s="79"/>
      <c r="AR108" s="79"/>
      <c r="AS108" s="79"/>
      <c r="AT108" s="79"/>
      <c r="AU108" s="79"/>
      <c r="AV108" s="79"/>
      <c r="AW108" s="79"/>
    </row>
    <row r="109" spans="1:49" s="78" customFormat="1" ht="15.75">
      <c r="A109" s="119"/>
      <c r="B109" s="120"/>
      <c r="C109" s="121"/>
      <c r="D109" s="121"/>
      <c r="E109" s="12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L109" s="79"/>
      <c r="AM109" s="79"/>
      <c r="AN109" s="79"/>
      <c r="AO109" s="79"/>
      <c r="AP109" s="79"/>
      <c r="AQ109" s="79"/>
      <c r="AR109" s="79"/>
      <c r="AS109" s="79"/>
      <c r="AT109" s="79"/>
      <c r="AU109" s="79"/>
      <c r="AV109" s="79"/>
      <c r="AW109" s="79"/>
    </row>
    <row r="110" spans="1:49" s="78" customFormat="1" ht="15.75">
      <c r="A110" s="119"/>
      <c r="B110" s="120"/>
      <c r="C110" s="121"/>
      <c r="D110" s="121"/>
      <c r="E110" s="12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L110" s="79"/>
      <c r="AM110" s="79"/>
      <c r="AN110" s="79"/>
      <c r="AO110" s="79"/>
      <c r="AP110" s="79"/>
      <c r="AQ110" s="79"/>
      <c r="AR110" s="79"/>
      <c r="AS110" s="79"/>
      <c r="AT110" s="79"/>
      <c r="AU110" s="79"/>
      <c r="AV110" s="79"/>
      <c r="AW110" s="79"/>
    </row>
    <row r="111" spans="1:49" s="78" customFormat="1" ht="15.75">
      <c r="A111" s="119"/>
      <c r="B111" s="120"/>
      <c r="C111" s="121"/>
      <c r="D111" s="121"/>
      <c r="E111" s="121"/>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L111" s="79"/>
      <c r="AM111" s="79"/>
      <c r="AN111" s="79"/>
      <c r="AO111" s="79"/>
      <c r="AP111" s="79"/>
      <c r="AQ111" s="79"/>
      <c r="AR111" s="79"/>
      <c r="AS111" s="79"/>
      <c r="AT111" s="79"/>
      <c r="AU111" s="79"/>
      <c r="AV111" s="79"/>
      <c r="AW111" s="79"/>
    </row>
    <row r="112" spans="1:49" s="78" customFormat="1" ht="15.75">
      <c r="A112" s="119"/>
      <c r="B112" s="120"/>
      <c r="C112" s="121"/>
      <c r="D112" s="121"/>
      <c r="E112" s="121"/>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L112" s="79"/>
      <c r="AM112" s="79"/>
      <c r="AN112" s="79"/>
      <c r="AO112" s="79"/>
      <c r="AP112" s="79"/>
      <c r="AQ112" s="79"/>
      <c r="AR112" s="79"/>
      <c r="AS112" s="79"/>
      <c r="AT112" s="79"/>
      <c r="AU112" s="79"/>
      <c r="AV112" s="79"/>
      <c r="AW112" s="79"/>
    </row>
    <row r="113" spans="1:49" s="78" customFormat="1" ht="15.75">
      <c r="A113" s="119"/>
      <c r="B113" s="120"/>
      <c r="C113" s="121"/>
      <c r="D113" s="121"/>
      <c r="E113" s="121"/>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L113" s="79"/>
      <c r="AM113" s="79"/>
      <c r="AN113" s="79"/>
      <c r="AO113" s="79"/>
      <c r="AP113" s="79"/>
      <c r="AQ113" s="79"/>
      <c r="AR113" s="79"/>
      <c r="AS113" s="79"/>
      <c r="AT113" s="79"/>
      <c r="AU113" s="79"/>
      <c r="AV113" s="79"/>
      <c r="AW113" s="79"/>
    </row>
    <row r="114" spans="1:49" s="78" customFormat="1" ht="15.75">
      <c r="A114" s="119"/>
      <c r="B114" s="120"/>
      <c r="C114" s="121"/>
      <c r="D114" s="121"/>
      <c r="E114" s="121"/>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L114" s="79"/>
      <c r="AM114" s="79"/>
      <c r="AN114" s="79"/>
      <c r="AO114" s="79"/>
      <c r="AP114" s="79"/>
      <c r="AQ114" s="79"/>
      <c r="AR114" s="79"/>
      <c r="AS114" s="79"/>
      <c r="AT114" s="79"/>
      <c r="AU114" s="79"/>
      <c r="AV114" s="79"/>
      <c r="AW114" s="79"/>
    </row>
    <row r="115" spans="1:49" s="78" customFormat="1" ht="15.75">
      <c r="A115" s="119"/>
      <c r="B115" s="120"/>
      <c r="C115" s="121"/>
      <c r="D115" s="121"/>
      <c r="E115" s="121"/>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L115" s="79"/>
      <c r="AM115" s="79"/>
      <c r="AN115" s="79"/>
      <c r="AO115" s="79"/>
      <c r="AP115" s="79"/>
      <c r="AQ115" s="79"/>
      <c r="AR115" s="79"/>
      <c r="AS115" s="79"/>
      <c r="AT115" s="79"/>
      <c r="AU115" s="79"/>
      <c r="AV115" s="79"/>
      <c r="AW115" s="79"/>
    </row>
    <row r="116" spans="1:49" s="78" customFormat="1" ht="15.75">
      <c r="A116" s="119"/>
      <c r="B116" s="120"/>
      <c r="C116" s="121"/>
      <c r="D116" s="121"/>
      <c r="E116" s="121"/>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L116" s="79"/>
      <c r="AM116" s="79"/>
      <c r="AN116" s="79"/>
      <c r="AO116" s="79"/>
      <c r="AP116" s="79"/>
      <c r="AQ116" s="79"/>
      <c r="AR116" s="79"/>
      <c r="AS116" s="79"/>
      <c r="AT116" s="79"/>
      <c r="AU116" s="79"/>
      <c r="AV116" s="79"/>
      <c r="AW116" s="79"/>
    </row>
    <row r="117" spans="1:49" s="78" customFormat="1" ht="15.75">
      <c r="A117" s="119"/>
      <c r="B117" s="120"/>
      <c r="C117" s="121"/>
      <c r="D117" s="121"/>
      <c r="E117" s="121"/>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L117" s="79"/>
      <c r="AM117" s="79"/>
      <c r="AN117" s="79"/>
      <c r="AO117" s="79"/>
      <c r="AP117" s="79"/>
      <c r="AQ117" s="79"/>
      <c r="AR117" s="79"/>
      <c r="AS117" s="79"/>
      <c r="AT117" s="79"/>
      <c r="AU117" s="79"/>
      <c r="AV117" s="79"/>
      <c r="AW117" s="79"/>
    </row>
    <row r="118" spans="1:49" s="78" customFormat="1" ht="15.75">
      <c r="A118" s="119"/>
      <c r="B118" s="120"/>
      <c r="C118" s="121"/>
      <c r="D118" s="121"/>
      <c r="E118" s="121"/>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L118" s="79"/>
      <c r="AM118" s="79"/>
      <c r="AN118" s="79"/>
      <c r="AO118" s="79"/>
      <c r="AP118" s="79"/>
      <c r="AQ118" s="79"/>
      <c r="AR118" s="79"/>
      <c r="AS118" s="79"/>
      <c r="AT118" s="79"/>
      <c r="AU118" s="79"/>
      <c r="AV118" s="79"/>
      <c r="AW118" s="79"/>
    </row>
    <row r="119" spans="1:49" s="78" customFormat="1" ht="15.75">
      <c r="A119" s="119"/>
      <c r="B119" s="120"/>
      <c r="C119" s="121"/>
      <c r="D119" s="121"/>
      <c r="E119" s="121"/>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L119" s="79"/>
      <c r="AM119" s="79"/>
      <c r="AN119" s="79"/>
      <c r="AO119" s="79"/>
      <c r="AP119" s="79"/>
      <c r="AQ119" s="79"/>
      <c r="AR119" s="79"/>
      <c r="AS119" s="79"/>
      <c r="AT119" s="79"/>
      <c r="AU119" s="79"/>
      <c r="AV119" s="79"/>
      <c r="AW119" s="79"/>
    </row>
    <row r="120" spans="1:49" s="78" customFormat="1" ht="15.75">
      <c r="A120" s="119"/>
      <c r="B120" s="120"/>
      <c r="C120" s="121"/>
      <c r="D120" s="121"/>
      <c r="E120" s="121"/>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L120" s="79"/>
      <c r="AM120" s="79"/>
      <c r="AN120" s="79"/>
      <c r="AO120" s="79"/>
      <c r="AP120" s="79"/>
      <c r="AQ120" s="79"/>
      <c r="AR120" s="79"/>
      <c r="AS120" s="79"/>
      <c r="AT120" s="79"/>
      <c r="AU120" s="79"/>
      <c r="AV120" s="79"/>
      <c r="AW120" s="79"/>
    </row>
    <row r="121" spans="1:49" s="78" customFormat="1" ht="15.75">
      <c r="A121" s="119"/>
      <c r="B121" s="120"/>
      <c r="C121" s="121"/>
      <c r="D121" s="121"/>
      <c r="E121" s="121"/>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L121" s="79"/>
      <c r="AM121" s="79"/>
      <c r="AN121" s="79"/>
      <c r="AO121" s="79"/>
      <c r="AP121" s="79"/>
      <c r="AQ121" s="79"/>
      <c r="AR121" s="79"/>
      <c r="AS121" s="79"/>
      <c r="AT121" s="79"/>
      <c r="AU121" s="79"/>
      <c r="AV121" s="79"/>
      <c r="AW121" s="79"/>
    </row>
    <row r="122" spans="1:49" s="78" customFormat="1" ht="15.75">
      <c r="A122" s="119"/>
      <c r="B122" s="120"/>
      <c r="C122" s="121"/>
      <c r="D122" s="121"/>
      <c r="E122" s="121"/>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L122" s="79"/>
      <c r="AM122" s="79"/>
      <c r="AN122" s="79"/>
      <c r="AO122" s="79"/>
      <c r="AP122" s="79"/>
      <c r="AQ122" s="79"/>
      <c r="AR122" s="79"/>
      <c r="AS122" s="79"/>
      <c r="AT122" s="79"/>
      <c r="AU122" s="79"/>
      <c r="AV122" s="79"/>
      <c r="AW122" s="79"/>
    </row>
    <row r="123" spans="1:49" s="78" customFormat="1" ht="15.75">
      <c r="A123" s="119"/>
      <c r="B123" s="120"/>
      <c r="C123" s="121"/>
      <c r="D123" s="121"/>
      <c r="E123" s="121"/>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L123" s="79"/>
      <c r="AM123" s="79"/>
      <c r="AN123" s="79"/>
      <c r="AO123" s="79"/>
      <c r="AP123" s="79"/>
      <c r="AQ123" s="79"/>
      <c r="AR123" s="79"/>
      <c r="AS123" s="79"/>
      <c r="AT123" s="79"/>
      <c r="AU123" s="79"/>
      <c r="AV123" s="79"/>
      <c r="AW123" s="79"/>
    </row>
    <row r="124" spans="1:49" s="78" customFormat="1" ht="15.75">
      <c r="A124" s="119"/>
      <c r="B124" s="120"/>
      <c r="C124" s="121"/>
      <c r="D124" s="121"/>
      <c r="E124" s="121"/>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L124" s="79"/>
      <c r="AM124" s="79"/>
      <c r="AN124" s="79"/>
      <c r="AO124" s="79"/>
      <c r="AP124" s="79"/>
      <c r="AQ124" s="79"/>
      <c r="AR124" s="79"/>
      <c r="AS124" s="79"/>
      <c r="AT124" s="79"/>
      <c r="AU124" s="79"/>
      <c r="AV124" s="79"/>
      <c r="AW124" s="79"/>
    </row>
    <row r="125" spans="1:49" s="78" customFormat="1" ht="15.75">
      <c r="A125" s="119"/>
      <c r="B125" s="120"/>
      <c r="C125" s="121"/>
      <c r="D125" s="121"/>
      <c r="E125" s="121"/>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L125" s="79"/>
      <c r="AM125" s="79"/>
      <c r="AN125" s="79"/>
      <c r="AO125" s="79"/>
      <c r="AP125" s="79"/>
      <c r="AQ125" s="79"/>
      <c r="AR125" s="79"/>
      <c r="AS125" s="79"/>
      <c r="AT125" s="79"/>
      <c r="AU125" s="79"/>
      <c r="AV125" s="79"/>
      <c r="AW125" s="79"/>
    </row>
    <row r="126" spans="1:49" s="78" customFormat="1" ht="15.75">
      <c r="A126" s="119"/>
      <c r="B126" s="120"/>
      <c r="C126" s="121"/>
      <c r="D126" s="121"/>
      <c r="E126" s="121"/>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L126" s="79"/>
      <c r="AM126" s="79"/>
      <c r="AN126" s="79"/>
      <c r="AO126" s="79"/>
      <c r="AP126" s="79"/>
      <c r="AQ126" s="79"/>
      <c r="AR126" s="79"/>
      <c r="AS126" s="79"/>
      <c r="AT126" s="79"/>
      <c r="AU126" s="79"/>
      <c r="AV126" s="79"/>
      <c r="AW126" s="79"/>
    </row>
    <row r="127" spans="1:49" s="78" customFormat="1" ht="15.75">
      <c r="A127" s="119"/>
      <c r="B127" s="120"/>
      <c r="C127" s="121"/>
      <c r="D127" s="121"/>
      <c r="E127" s="121"/>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L127" s="79"/>
      <c r="AM127" s="79"/>
      <c r="AN127" s="79"/>
      <c r="AO127" s="79"/>
      <c r="AP127" s="79"/>
      <c r="AQ127" s="79"/>
      <c r="AR127" s="79"/>
      <c r="AS127" s="79"/>
      <c r="AT127" s="79"/>
      <c r="AU127" s="79"/>
      <c r="AV127" s="79"/>
      <c r="AW127" s="79"/>
    </row>
    <row r="128" spans="1:49" s="78" customFormat="1" ht="15.75">
      <c r="A128" s="119"/>
      <c r="B128" s="120"/>
      <c r="C128" s="121"/>
      <c r="D128" s="121"/>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L128" s="79"/>
      <c r="AM128" s="79"/>
      <c r="AN128" s="79"/>
      <c r="AO128" s="79"/>
      <c r="AP128" s="79"/>
      <c r="AQ128" s="79"/>
      <c r="AR128" s="79"/>
      <c r="AS128" s="79"/>
      <c r="AT128" s="79"/>
      <c r="AU128" s="79"/>
      <c r="AV128" s="79"/>
      <c r="AW128" s="79"/>
    </row>
    <row r="129" spans="1:49" s="78" customFormat="1" ht="15.75">
      <c r="A129" s="119"/>
      <c r="B129" s="120"/>
      <c r="C129" s="121"/>
      <c r="D129" s="121"/>
      <c r="E129" s="121"/>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L129" s="79"/>
      <c r="AM129" s="79"/>
      <c r="AN129" s="79"/>
      <c r="AO129" s="79"/>
      <c r="AP129" s="79"/>
      <c r="AQ129" s="79"/>
      <c r="AR129" s="79"/>
      <c r="AS129" s="79"/>
      <c r="AT129" s="79"/>
      <c r="AU129" s="79"/>
      <c r="AV129" s="79"/>
      <c r="AW129" s="79"/>
    </row>
    <row r="130" spans="1:49" s="78" customFormat="1" ht="15.75">
      <c r="A130" s="119"/>
      <c r="B130" s="120"/>
      <c r="C130" s="121"/>
      <c r="D130" s="121"/>
      <c r="E130" s="121"/>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L130" s="79"/>
      <c r="AM130" s="79"/>
      <c r="AN130" s="79"/>
      <c r="AO130" s="79"/>
      <c r="AP130" s="79"/>
      <c r="AQ130" s="79"/>
      <c r="AR130" s="79"/>
      <c r="AS130" s="79"/>
      <c r="AT130" s="79"/>
      <c r="AU130" s="79"/>
      <c r="AV130" s="79"/>
      <c r="AW130" s="79"/>
    </row>
    <row r="131" spans="1:49" s="78" customFormat="1" ht="15.75">
      <c r="A131" s="119"/>
      <c r="B131" s="120"/>
      <c r="C131" s="121"/>
      <c r="D131" s="121"/>
      <c r="E131" s="121"/>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L131" s="79"/>
      <c r="AM131" s="79"/>
      <c r="AN131" s="79"/>
      <c r="AO131" s="79"/>
      <c r="AP131" s="79"/>
      <c r="AQ131" s="79"/>
      <c r="AR131" s="79"/>
      <c r="AS131" s="79"/>
      <c r="AT131" s="79"/>
      <c r="AU131" s="79"/>
      <c r="AV131" s="79"/>
      <c r="AW131" s="79"/>
    </row>
    <row r="132" spans="1:49" s="78" customFormat="1" ht="15.75">
      <c r="A132" s="119"/>
      <c r="B132" s="120"/>
      <c r="C132" s="121"/>
      <c r="D132" s="121"/>
      <c r="E132" s="121"/>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L132" s="79"/>
      <c r="AM132" s="79"/>
      <c r="AN132" s="79"/>
      <c r="AO132" s="79"/>
      <c r="AP132" s="79"/>
      <c r="AQ132" s="79"/>
      <c r="AR132" s="79"/>
      <c r="AS132" s="79"/>
      <c r="AT132" s="79"/>
      <c r="AU132" s="79"/>
      <c r="AV132" s="79"/>
      <c r="AW132" s="79"/>
    </row>
    <row r="133" spans="1:49" s="78" customFormat="1" ht="15.75">
      <c r="A133" s="119"/>
      <c r="B133" s="120"/>
      <c r="C133" s="121"/>
      <c r="D133" s="121"/>
      <c r="E133" s="121"/>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L133" s="79"/>
      <c r="AM133" s="79"/>
      <c r="AN133" s="79"/>
      <c r="AO133" s="79"/>
      <c r="AP133" s="79"/>
      <c r="AQ133" s="79"/>
      <c r="AR133" s="79"/>
      <c r="AS133" s="79"/>
      <c r="AT133" s="79"/>
      <c r="AU133" s="79"/>
      <c r="AV133" s="79"/>
      <c r="AW133" s="79"/>
    </row>
    <row r="134" spans="1:49" s="78" customFormat="1" ht="15.75">
      <c r="A134" s="119"/>
      <c r="B134" s="120"/>
      <c r="C134" s="121"/>
      <c r="D134" s="121"/>
      <c r="E134" s="121"/>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L134" s="79"/>
      <c r="AM134" s="79"/>
      <c r="AN134" s="79"/>
      <c r="AO134" s="79"/>
      <c r="AP134" s="79"/>
      <c r="AQ134" s="79"/>
      <c r="AR134" s="79"/>
      <c r="AS134" s="79"/>
      <c r="AT134" s="79"/>
      <c r="AU134" s="79"/>
      <c r="AV134" s="79"/>
      <c r="AW134" s="79"/>
    </row>
    <row r="135" spans="1:49" s="78" customFormat="1" ht="15.75">
      <c r="A135" s="119"/>
      <c r="B135" s="120"/>
      <c r="C135" s="121"/>
      <c r="D135" s="121"/>
      <c r="E135" s="121"/>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L135" s="79"/>
      <c r="AM135" s="79"/>
      <c r="AN135" s="79"/>
      <c r="AO135" s="79"/>
      <c r="AP135" s="79"/>
      <c r="AQ135" s="79"/>
      <c r="AR135" s="79"/>
      <c r="AS135" s="79"/>
      <c r="AT135" s="79"/>
      <c r="AU135" s="79"/>
      <c r="AV135" s="79"/>
      <c r="AW135" s="79"/>
    </row>
    <row r="136" spans="1:49" s="78" customFormat="1" ht="15.75">
      <c r="A136" s="119"/>
      <c r="B136" s="120"/>
      <c r="C136" s="121"/>
      <c r="D136" s="121"/>
      <c r="E136" s="121"/>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L136" s="79"/>
      <c r="AM136" s="79"/>
      <c r="AN136" s="79"/>
      <c r="AO136" s="79"/>
      <c r="AP136" s="79"/>
      <c r="AQ136" s="79"/>
      <c r="AR136" s="79"/>
      <c r="AS136" s="79"/>
      <c r="AT136" s="79"/>
      <c r="AU136" s="79"/>
      <c r="AV136" s="79"/>
      <c r="AW136" s="79"/>
    </row>
    <row r="137" spans="1:49" s="78" customFormat="1" ht="15.75">
      <c r="A137" s="119"/>
      <c r="B137" s="120"/>
      <c r="C137" s="121"/>
      <c r="D137" s="121"/>
      <c r="E137" s="121"/>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L137" s="79"/>
      <c r="AM137" s="79"/>
      <c r="AN137" s="79"/>
      <c r="AO137" s="79"/>
      <c r="AP137" s="79"/>
      <c r="AQ137" s="79"/>
      <c r="AR137" s="79"/>
      <c r="AS137" s="79"/>
      <c r="AT137" s="79"/>
      <c r="AU137" s="79"/>
      <c r="AV137" s="79"/>
      <c r="AW137" s="79"/>
    </row>
    <row r="138" spans="1:49" s="78" customFormat="1" ht="15.75">
      <c r="A138" s="119"/>
      <c r="B138" s="120"/>
      <c r="C138" s="121"/>
      <c r="D138" s="121"/>
      <c r="E138" s="121"/>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L138" s="79"/>
      <c r="AM138" s="79"/>
      <c r="AN138" s="79"/>
      <c r="AO138" s="79"/>
      <c r="AP138" s="79"/>
      <c r="AQ138" s="79"/>
      <c r="AR138" s="79"/>
      <c r="AS138" s="79"/>
      <c r="AT138" s="79"/>
      <c r="AU138" s="79"/>
      <c r="AV138" s="79"/>
      <c r="AW138" s="79"/>
    </row>
    <row r="139" spans="1:49" s="78" customFormat="1" ht="15.75">
      <c r="A139" s="119"/>
      <c r="B139" s="120"/>
      <c r="C139" s="121"/>
      <c r="D139" s="121"/>
      <c r="E139" s="121"/>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L139" s="79"/>
      <c r="AM139" s="79"/>
      <c r="AN139" s="79"/>
      <c r="AO139" s="79"/>
      <c r="AP139" s="79"/>
      <c r="AQ139" s="79"/>
      <c r="AR139" s="79"/>
      <c r="AS139" s="79"/>
      <c r="AT139" s="79"/>
      <c r="AU139" s="79"/>
      <c r="AV139" s="79"/>
      <c r="AW139" s="79"/>
    </row>
    <row r="140" spans="1:49" s="78" customFormat="1" ht="15.75">
      <c r="A140" s="119"/>
      <c r="B140" s="120"/>
      <c r="C140" s="121"/>
      <c r="D140" s="121"/>
      <c r="E140" s="121"/>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L140" s="79"/>
      <c r="AM140" s="79"/>
      <c r="AN140" s="79"/>
      <c r="AO140" s="79"/>
      <c r="AP140" s="79"/>
      <c r="AQ140" s="79"/>
      <c r="AR140" s="79"/>
      <c r="AS140" s="79"/>
      <c r="AT140" s="79"/>
      <c r="AU140" s="79"/>
      <c r="AV140" s="79"/>
      <c r="AW140" s="79"/>
    </row>
    <row r="141" spans="1:49" s="78" customFormat="1" ht="15.75">
      <c r="A141" s="119"/>
      <c r="B141" s="120"/>
      <c r="C141" s="121"/>
      <c r="D141" s="121"/>
      <c r="E141" s="121"/>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L141" s="79"/>
      <c r="AM141" s="79"/>
      <c r="AN141" s="79"/>
      <c r="AO141" s="79"/>
      <c r="AP141" s="79"/>
      <c r="AQ141" s="79"/>
      <c r="AR141" s="79"/>
      <c r="AS141" s="79"/>
      <c r="AT141" s="79"/>
      <c r="AU141" s="79"/>
      <c r="AV141" s="79"/>
      <c r="AW141" s="79"/>
    </row>
    <row r="142" spans="1:49" s="78" customFormat="1" ht="15.75">
      <c r="A142" s="119"/>
      <c r="B142" s="120"/>
      <c r="C142" s="121"/>
      <c r="D142" s="121"/>
      <c r="E142" s="121"/>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L142" s="79"/>
      <c r="AM142" s="79"/>
      <c r="AN142" s="79"/>
      <c r="AO142" s="79"/>
      <c r="AP142" s="79"/>
      <c r="AQ142" s="79"/>
      <c r="AR142" s="79"/>
      <c r="AS142" s="79"/>
      <c r="AT142" s="79"/>
      <c r="AU142" s="79"/>
      <c r="AV142" s="79"/>
      <c r="AW142" s="79"/>
    </row>
    <row r="143" spans="1:49" s="78" customFormat="1" ht="15.75">
      <c r="A143" s="119"/>
      <c r="B143" s="120"/>
      <c r="C143" s="121"/>
      <c r="D143" s="121"/>
      <c r="E143" s="121"/>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L143" s="79"/>
      <c r="AM143" s="79"/>
      <c r="AN143" s="79"/>
      <c r="AO143" s="79"/>
      <c r="AP143" s="79"/>
      <c r="AQ143" s="79"/>
      <c r="AR143" s="79"/>
      <c r="AS143" s="79"/>
      <c r="AT143" s="79"/>
      <c r="AU143" s="79"/>
      <c r="AV143" s="79"/>
      <c r="AW143" s="79"/>
    </row>
    <row r="144" spans="1:49" s="78" customFormat="1" ht="15.75">
      <c r="A144" s="119"/>
      <c r="B144" s="120"/>
      <c r="C144" s="121"/>
      <c r="D144" s="121"/>
      <c r="E144" s="121"/>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L144" s="79"/>
      <c r="AM144" s="79"/>
      <c r="AN144" s="79"/>
      <c r="AO144" s="79"/>
      <c r="AP144" s="79"/>
      <c r="AQ144" s="79"/>
      <c r="AR144" s="79"/>
      <c r="AS144" s="79"/>
      <c r="AT144" s="79"/>
      <c r="AU144" s="79"/>
      <c r="AV144" s="79"/>
      <c r="AW144" s="79"/>
    </row>
    <row r="145" spans="1:49" s="78" customFormat="1" ht="15.75">
      <c r="A145" s="119"/>
      <c r="B145" s="120"/>
      <c r="C145" s="121"/>
      <c r="D145" s="121"/>
      <c r="E145" s="121"/>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L145" s="79"/>
      <c r="AM145" s="79"/>
      <c r="AN145" s="79"/>
      <c r="AO145" s="79"/>
      <c r="AP145" s="79"/>
      <c r="AQ145" s="79"/>
      <c r="AR145" s="79"/>
      <c r="AS145" s="79"/>
      <c r="AT145" s="79"/>
      <c r="AU145" s="79"/>
      <c r="AV145" s="79"/>
      <c r="AW145" s="79"/>
    </row>
    <row r="146" spans="1:49" s="78" customFormat="1" ht="15.75">
      <c r="A146" s="119"/>
      <c r="B146" s="120"/>
      <c r="C146" s="121"/>
      <c r="D146" s="121"/>
      <c r="E146" s="121"/>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L146" s="79"/>
      <c r="AM146" s="79"/>
      <c r="AN146" s="79"/>
      <c r="AO146" s="79"/>
      <c r="AP146" s="79"/>
      <c r="AQ146" s="79"/>
      <c r="AR146" s="79"/>
      <c r="AS146" s="79"/>
      <c r="AT146" s="79"/>
      <c r="AU146" s="79"/>
      <c r="AV146" s="79"/>
      <c r="AW146" s="79"/>
    </row>
    <row r="147" spans="1:49" s="78" customFormat="1" ht="15.75">
      <c r="A147" s="119"/>
      <c r="B147" s="120"/>
      <c r="C147" s="121"/>
      <c r="D147" s="121"/>
      <c r="E147" s="121"/>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L147" s="79"/>
      <c r="AM147" s="79"/>
      <c r="AN147" s="79"/>
      <c r="AO147" s="79"/>
      <c r="AP147" s="79"/>
      <c r="AQ147" s="79"/>
      <c r="AR147" s="79"/>
      <c r="AS147" s="79"/>
      <c r="AT147" s="79"/>
      <c r="AU147" s="79"/>
      <c r="AV147" s="79"/>
      <c r="AW147" s="79"/>
    </row>
    <row r="148" spans="1:49" s="78" customFormat="1" ht="15.75">
      <c r="A148" s="119"/>
      <c r="B148" s="120"/>
      <c r="C148" s="121"/>
      <c r="D148" s="121"/>
      <c r="E148" s="121"/>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L148" s="79"/>
      <c r="AM148" s="79"/>
      <c r="AN148" s="79"/>
      <c r="AO148" s="79"/>
      <c r="AP148" s="79"/>
      <c r="AQ148" s="79"/>
      <c r="AR148" s="79"/>
      <c r="AS148" s="79"/>
      <c r="AT148" s="79"/>
      <c r="AU148" s="79"/>
      <c r="AV148" s="79"/>
      <c r="AW148" s="79"/>
    </row>
    <row r="149" spans="1:49" s="78" customFormat="1" ht="15.75">
      <c r="A149" s="119"/>
      <c r="B149" s="120"/>
      <c r="C149" s="121"/>
      <c r="D149" s="121"/>
      <c r="E149" s="121"/>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L149" s="79"/>
      <c r="AM149" s="79"/>
      <c r="AN149" s="79"/>
      <c r="AO149" s="79"/>
      <c r="AP149" s="79"/>
      <c r="AQ149" s="79"/>
      <c r="AR149" s="79"/>
      <c r="AS149" s="79"/>
      <c r="AT149" s="79"/>
      <c r="AU149" s="79"/>
      <c r="AV149" s="79"/>
      <c r="AW149" s="79"/>
    </row>
    <row r="150" spans="1:49" s="78" customFormat="1" ht="15.75">
      <c r="A150" s="119"/>
      <c r="B150" s="120"/>
      <c r="C150" s="121"/>
      <c r="D150" s="121"/>
      <c r="E150" s="121"/>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L150" s="79"/>
      <c r="AM150" s="79"/>
      <c r="AN150" s="79"/>
      <c r="AO150" s="79"/>
      <c r="AP150" s="79"/>
      <c r="AQ150" s="79"/>
      <c r="AR150" s="79"/>
      <c r="AS150" s="79"/>
      <c r="AT150" s="79"/>
      <c r="AU150" s="79"/>
      <c r="AV150" s="79"/>
      <c r="AW150" s="79"/>
    </row>
    <row r="151" spans="1:49" s="78" customFormat="1" ht="15.75">
      <c r="A151" s="119"/>
      <c r="B151" s="120"/>
      <c r="C151" s="121"/>
      <c r="D151" s="121"/>
      <c r="E151" s="121"/>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L151" s="79"/>
      <c r="AM151" s="79"/>
      <c r="AN151" s="79"/>
      <c r="AO151" s="79"/>
      <c r="AP151" s="79"/>
      <c r="AQ151" s="79"/>
      <c r="AR151" s="79"/>
      <c r="AS151" s="79"/>
      <c r="AT151" s="79"/>
      <c r="AU151" s="79"/>
      <c r="AV151" s="79"/>
      <c r="AW151" s="79"/>
    </row>
    <row r="152" spans="1:49" s="78" customFormat="1" ht="15.75">
      <c r="A152" s="119"/>
      <c r="B152" s="120"/>
      <c r="C152" s="121"/>
      <c r="D152" s="121"/>
      <c r="E152" s="121"/>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L152" s="79"/>
      <c r="AM152" s="79"/>
      <c r="AN152" s="79"/>
      <c r="AO152" s="79"/>
      <c r="AP152" s="79"/>
      <c r="AQ152" s="79"/>
      <c r="AR152" s="79"/>
      <c r="AS152" s="79"/>
      <c r="AT152" s="79"/>
      <c r="AU152" s="79"/>
      <c r="AV152" s="79"/>
      <c r="AW152" s="79"/>
    </row>
    <row r="153" spans="1:49" s="78" customFormat="1" ht="15.75">
      <c r="A153" s="119"/>
      <c r="B153" s="120"/>
      <c r="C153" s="121"/>
      <c r="D153" s="121"/>
      <c r="E153" s="121"/>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L153" s="79"/>
      <c r="AM153" s="79"/>
      <c r="AN153" s="79"/>
      <c r="AO153" s="79"/>
      <c r="AP153" s="79"/>
      <c r="AQ153" s="79"/>
      <c r="AR153" s="79"/>
      <c r="AS153" s="79"/>
      <c r="AT153" s="79"/>
      <c r="AU153" s="79"/>
      <c r="AV153" s="79"/>
      <c r="AW153" s="79"/>
    </row>
    <row r="154" spans="1:49" s="78" customFormat="1" ht="15.75">
      <c r="A154" s="119"/>
      <c r="B154" s="120"/>
      <c r="C154" s="121"/>
      <c r="D154" s="121"/>
      <c r="E154" s="121"/>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L154" s="79"/>
      <c r="AM154" s="79"/>
      <c r="AN154" s="79"/>
      <c r="AO154" s="79"/>
      <c r="AP154" s="79"/>
      <c r="AQ154" s="79"/>
      <c r="AR154" s="79"/>
      <c r="AS154" s="79"/>
      <c r="AT154" s="79"/>
      <c r="AU154" s="79"/>
      <c r="AV154" s="79"/>
      <c r="AW154" s="79"/>
    </row>
    <row r="155" spans="1:49" s="78" customFormat="1" ht="15.75">
      <c r="A155" s="119"/>
      <c r="B155" s="120"/>
      <c r="C155" s="121"/>
      <c r="D155" s="121"/>
      <c r="E155" s="121"/>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L155" s="79"/>
      <c r="AM155" s="79"/>
      <c r="AN155" s="79"/>
      <c r="AO155" s="79"/>
      <c r="AP155" s="79"/>
      <c r="AQ155" s="79"/>
      <c r="AR155" s="79"/>
      <c r="AS155" s="79"/>
      <c r="AT155" s="79"/>
      <c r="AU155" s="79"/>
      <c r="AV155" s="79"/>
      <c r="AW155" s="79"/>
    </row>
    <row r="156" spans="1:49" s="78" customFormat="1" ht="15.75">
      <c r="A156" s="119"/>
      <c r="B156" s="120"/>
      <c r="C156" s="121"/>
      <c r="D156" s="121"/>
      <c r="E156" s="121"/>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L156" s="79"/>
      <c r="AM156" s="79"/>
      <c r="AN156" s="79"/>
      <c r="AO156" s="79"/>
      <c r="AP156" s="79"/>
      <c r="AQ156" s="79"/>
      <c r="AR156" s="79"/>
      <c r="AS156" s="79"/>
      <c r="AT156" s="79"/>
      <c r="AU156" s="79"/>
      <c r="AV156" s="79"/>
      <c r="AW156" s="79"/>
    </row>
    <row r="157" spans="1:49" s="78" customFormat="1" ht="15.75">
      <c r="A157" s="119"/>
      <c r="B157" s="120"/>
      <c r="C157" s="121"/>
      <c r="D157" s="121"/>
      <c r="E157" s="121"/>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L157" s="79"/>
      <c r="AM157" s="79"/>
      <c r="AN157" s="79"/>
      <c r="AO157" s="79"/>
      <c r="AP157" s="79"/>
      <c r="AQ157" s="79"/>
      <c r="AR157" s="79"/>
      <c r="AS157" s="79"/>
      <c r="AT157" s="79"/>
      <c r="AU157" s="79"/>
      <c r="AV157" s="79"/>
      <c r="AW157" s="79"/>
    </row>
    <row r="158" spans="1:49" s="78" customFormat="1" ht="15.75">
      <c r="A158" s="119"/>
      <c r="B158" s="120"/>
      <c r="C158" s="121"/>
      <c r="D158" s="121"/>
      <c r="E158" s="121"/>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L158" s="79"/>
      <c r="AM158" s="79"/>
      <c r="AN158" s="79"/>
      <c r="AO158" s="79"/>
      <c r="AP158" s="79"/>
      <c r="AQ158" s="79"/>
      <c r="AR158" s="79"/>
      <c r="AS158" s="79"/>
      <c r="AT158" s="79"/>
      <c r="AU158" s="79"/>
      <c r="AV158" s="79"/>
      <c r="AW158" s="79"/>
    </row>
    <row r="159" spans="1:49" s="78" customFormat="1" ht="15.75">
      <c r="A159" s="119"/>
      <c r="B159" s="120"/>
      <c r="C159" s="121"/>
      <c r="D159" s="121"/>
      <c r="E159" s="121"/>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L159" s="79"/>
      <c r="AM159" s="79"/>
      <c r="AN159" s="79"/>
      <c r="AO159" s="79"/>
      <c r="AP159" s="79"/>
      <c r="AQ159" s="79"/>
      <c r="AR159" s="79"/>
      <c r="AS159" s="79"/>
      <c r="AT159" s="79"/>
      <c r="AU159" s="79"/>
      <c r="AV159" s="79"/>
      <c r="AW159" s="79"/>
    </row>
    <row r="160" spans="1:49" s="78" customFormat="1" ht="15.75">
      <c r="A160" s="119"/>
      <c r="B160" s="120"/>
      <c r="C160" s="121"/>
      <c r="D160" s="121"/>
      <c r="E160" s="121"/>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L160" s="79"/>
      <c r="AM160" s="79"/>
      <c r="AN160" s="79"/>
      <c r="AO160" s="79"/>
      <c r="AP160" s="79"/>
      <c r="AQ160" s="79"/>
      <c r="AR160" s="79"/>
      <c r="AS160" s="79"/>
      <c r="AT160" s="79"/>
      <c r="AU160" s="79"/>
      <c r="AV160" s="79"/>
      <c r="AW160" s="79"/>
    </row>
    <row r="161" spans="1:49" s="78" customFormat="1" ht="15.75">
      <c r="A161" s="119"/>
      <c r="B161" s="120"/>
      <c r="C161" s="121"/>
      <c r="D161" s="121"/>
      <c r="E161" s="121"/>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L161" s="79"/>
      <c r="AM161" s="79"/>
      <c r="AN161" s="79"/>
      <c r="AO161" s="79"/>
      <c r="AP161" s="79"/>
      <c r="AQ161" s="79"/>
      <c r="AR161" s="79"/>
      <c r="AS161" s="79"/>
      <c r="AT161" s="79"/>
      <c r="AU161" s="79"/>
      <c r="AV161" s="79"/>
      <c r="AW161" s="79"/>
    </row>
    <row r="162" spans="1:49" s="78" customFormat="1" ht="15.75">
      <c r="A162" s="119"/>
      <c r="B162" s="120"/>
      <c r="C162" s="121"/>
      <c r="D162" s="121"/>
      <c r="E162" s="121"/>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L162" s="79"/>
      <c r="AM162" s="79"/>
      <c r="AN162" s="79"/>
      <c r="AO162" s="79"/>
      <c r="AP162" s="79"/>
      <c r="AQ162" s="79"/>
      <c r="AR162" s="79"/>
      <c r="AS162" s="79"/>
      <c r="AT162" s="79"/>
      <c r="AU162" s="79"/>
      <c r="AV162" s="79"/>
      <c r="AW162" s="79"/>
    </row>
    <row r="163" spans="1:49" s="78" customFormat="1" ht="15.75">
      <c r="A163" s="119"/>
      <c r="B163" s="120"/>
      <c r="C163" s="121"/>
      <c r="D163" s="121"/>
      <c r="E163" s="121"/>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L163" s="79"/>
      <c r="AM163" s="79"/>
      <c r="AN163" s="79"/>
      <c r="AO163" s="79"/>
      <c r="AP163" s="79"/>
      <c r="AQ163" s="79"/>
      <c r="AR163" s="79"/>
      <c r="AS163" s="79"/>
      <c r="AT163" s="79"/>
      <c r="AU163" s="79"/>
      <c r="AV163" s="79"/>
      <c r="AW163" s="79"/>
    </row>
    <row r="164" spans="1:49" s="78" customFormat="1" ht="15.75">
      <c r="A164" s="119"/>
      <c r="B164" s="120"/>
      <c r="C164" s="121"/>
      <c r="D164" s="121"/>
      <c r="E164" s="121"/>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L164" s="79"/>
      <c r="AM164" s="79"/>
      <c r="AN164" s="79"/>
      <c r="AO164" s="79"/>
      <c r="AP164" s="79"/>
      <c r="AQ164" s="79"/>
      <c r="AR164" s="79"/>
      <c r="AS164" s="79"/>
      <c r="AT164" s="79"/>
      <c r="AU164" s="79"/>
      <c r="AV164" s="79"/>
      <c r="AW164" s="79"/>
    </row>
    <row r="165" spans="1:49" s="78" customFormat="1" ht="15.75">
      <c r="A165" s="119"/>
      <c r="B165" s="120"/>
      <c r="C165" s="121"/>
      <c r="D165" s="121"/>
      <c r="E165" s="121"/>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L165" s="79"/>
      <c r="AM165" s="79"/>
      <c r="AN165" s="79"/>
      <c r="AO165" s="79"/>
      <c r="AP165" s="79"/>
      <c r="AQ165" s="79"/>
      <c r="AR165" s="79"/>
      <c r="AS165" s="79"/>
      <c r="AT165" s="79"/>
      <c r="AU165" s="79"/>
      <c r="AV165" s="79"/>
      <c r="AW165" s="79"/>
    </row>
    <row r="166" spans="1:49" s="78" customFormat="1" ht="15.75">
      <c r="A166" s="119"/>
      <c r="B166" s="120"/>
      <c r="C166" s="121"/>
      <c r="D166" s="121"/>
      <c r="E166" s="121"/>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L166" s="79"/>
      <c r="AM166" s="79"/>
      <c r="AN166" s="79"/>
      <c r="AO166" s="79"/>
      <c r="AP166" s="79"/>
      <c r="AQ166" s="79"/>
      <c r="AR166" s="79"/>
      <c r="AS166" s="79"/>
      <c r="AT166" s="79"/>
      <c r="AU166" s="79"/>
      <c r="AV166" s="79"/>
      <c r="AW166" s="79"/>
    </row>
    <row r="167" spans="1:49" s="78" customFormat="1" ht="15.75">
      <c r="A167" s="119"/>
      <c r="B167" s="120"/>
      <c r="C167" s="121"/>
      <c r="D167" s="121"/>
      <c r="E167" s="121"/>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L167" s="79"/>
      <c r="AM167" s="79"/>
      <c r="AN167" s="79"/>
      <c r="AO167" s="79"/>
      <c r="AP167" s="79"/>
      <c r="AQ167" s="79"/>
      <c r="AR167" s="79"/>
      <c r="AS167" s="79"/>
      <c r="AT167" s="79"/>
      <c r="AU167" s="79"/>
      <c r="AV167" s="79"/>
      <c r="AW167" s="79"/>
    </row>
    <row r="168" spans="1:49" s="78" customFormat="1" ht="15.75">
      <c r="A168" s="119"/>
      <c r="B168" s="120"/>
      <c r="C168" s="121"/>
      <c r="D168" s="121"/>
      <c r="E168" s="121"/>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L168" s="79"/>
      <c r="AM168" s="79"/>
      <c r="AN168" s="79"/>
      <c r="AO168" s="79"/>
      <c r="AP168" s="79"/>
      <c r="AQ168" s="79"/>
      <c r="AR168" s="79"/>
      <c r="AS168" s="79"/>
      <c r="AT168" s="79"/>
      <c r="AU168" s="79"/>
      <c r="AV168" s="79"/>
      <c r="AW168" s="79"/>
    </row>
    <row r="169" spans="1:49" s="78" customFormat="1" ht="15.75">
      <c r="A169" s="119"/>
      <c r="B169" s="120"/>
      <c r="C169" s="121"/>
      <c r="D169" s="121"/>
      <c r="E169" s="121"/>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L169" s="79"/>
      <c r="AM169" s="79"/>
      <c r="AN169" s="79"/>
      <c r="AO169" s="79"/>
      <c r="AP169" s="79"/>
      <c r="AQ169" s="79"/>
      <c r="AR169" s="79"/>
      <c r="AS169" s="79"/>
      <c r="AT169" s="79"/>
      <c r="AU169" s="79"/>
      <c r="AV169" s="79"/>
      <c r="AW169" s="79"/>
    </row>
    <row r="170" spans="1:49" s="78" customFormat="1" ht="15.75">
      <c r="A170" s="119"/>
      <c r="B170" s="120"/>
      <c r="C170" s="121"/>
      <c r="D170" s="121"/>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L170" s="79"/>
      <c r="AM170" s="79"/>
      <c r="AN170" s="79"/>
      <c r="AO170" s="79"/>
      <c r="AP170" s="79"/>
      <c r="AQ170" s="79"/>
      <c r="AR170" s="79"/>
      <c r="AS170" s="79"/>
      <c r="AT170" s="79"/>
      <c r="AU170" s="79"/>
      <c r="AV170" s="79"/>
      <c r="AW170" s="79"/>
    </row>
    <row r="171" spans="1:49" s="78" customFormat="1" ht="15.75">
      <c r="A171" s="119"/>
      <c r="B171" s="120"/>
      <c r="C171" s="121"/>
      <c r="D171" s="121"/>
      <c r="E171" s="121"/>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L171" s="79"/>
      <c r="AM171" s="79"/>
      <c r="AN171" s="79"/>
      <c r="AO171" s="79"/>
      <c r="AP171" s="79"/>
      <c r="AQ171" s="79"/>
      <c r="AR171" s="79"/>
      <c r="AS171" s="79"/>
      <c r="AT171" s="79"/>
      <c r="AU171" s="79"/>
      <c r="AV171" s="79"/>
      <c r="AW171" s="79"/>
    </row>
    <row r="172" spans="1:49" s="78" customFormat="1" ht="15.75">
      <c r="A172" s="119"/>
      <c r="B172" s="120"/>
      <c r="C172" s="121"/>
      <c r="D172" s="121"/>
      <c r="E172" s="121"/>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L172" s="79"/>
      <c r="AM172" s="79"/>
      <c r="AN172" s="79"/>
      <c r="AO172" s="79"/>
      <c r="AP172" s="79"/>
      <c r="AQ172" s="79"/>
      <c r="AR172" s="79"/>
      <c r="AS172" s="79"/>
      <c r="AT172" s="79"/>
      <c r="AU172" s="79"/>
      <c r="AV172" s="79"/>
      <c r="AW172" s="79"/>
    </row>
    <row r="173" spans="1:49" s="78" customFormat="1" ht="15.75">
      <c r="A173" s="119"/>
      <c r="B173" s="120"/>
      <c r="C173" s="121"/>
      <c r="D173" s="121"/>
      <c r="E173" s="121"/>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L173" s="79"/>
      <c r="AM173" s="79"/>
      <c r="AN173" s="79"/>
      <c r="AO173" s="79"/>
      <c r="AP173" s="79"/>
      <c r="AQ173" s="79"/>
      <c r="AR173" s="79"/>
      <c r="AS173" s="79"/>
      <c r="AT173" s="79"/>
      <c r="AU173" s="79"/>
      <c r="AV173" s="79"/>
      <c r="AW173" s="79"/>
    </row>
    <row r="174" spans="1:49" s="78" customFormat="1" ht="15.75">
      <c r="A174" s="119"/>
      <c r="B174" s="120"/>
      <c r="C174" s="121"/>
      <c r="D174" s="121"/>
      <c r="E174" s="121"/>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L174" s="79"/>
      <c r="AM174" s="79"/>
      <c r="AN174" s="79"/>
      <c r="AO174" s="79"/>
      <c r="AP174" s="79"/>
      <c r="AQ174" s="79"/>
      <c r="AR174" s="79"/>
      <c r="AS174" s="79"/>
      <c r="AT174" s="79"/>
      <c r="AU174" s="79"/>
      <c r="AV174" s="79"/>
      <c r="AW174" s="79"/>
    </row>
    <row r="175" spans="1:49" s="78" customFormat="1" ht="15.75">
      <c r="A175" s="119"/>
      <c r="B175" s="120"/>
      <c r="C175" s="121"/>
      <c r="D175" s="121"/>
      <c r="E175" s="121"/>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L175" s="79"/>
      <c r="AM175" s="79"/>
      <c r="AN175" s="79"/>
      <c r="AO175" s="79"/>
      <c r="AP175" s="79"/>
      <c r="AQ175" s="79"/>
      <c r="AR175" s="79"/>
      <c r="AS175" s="79"/>
      <c r="AT175" s="79"/>
      <c r="AU175" s="79"/>
      <c r="AV175" s="79"/>
      <c r="AW175" s="79"/>
    </row>
    <row r="176" spans="1:49" s="78" customFormat="1" ht="15.75">
      <c r="A176" s="119"/>
      <c r="B176" s="120"/>
      <c r="C176" s="121"/>
      <c r="D176" s="121"/>
      <c r="E176" s="121"/>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L176" s="79"/>
      <c r="AM176" s="79"/>
      <c r="AN176" s="79"/>
      <c r="AO176" s="79"/>
      <c r="AP176" s="79"/>
      <c r="AQ176" s="79"/>
      <c r="AR176" s="79"/>
      <c r="AS176" s="79"/>
      <c r="AT176" s="79"/>
      <c r="AU176" s="79"/>
      <c r="AV176" s="79"/>
      <c r="AW176" s="79"/>
    </row>
    <row r="177" spans="1:49" s="78" customFormat="1" ht="15.75">
      <c r="A177" s="119"/>
      <c r="B177" s="120"/>
      <c r="C177" s="121"/>
      <c r="D177" s="121"/>
      <c r="E177" s="121"/>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L177" s="79"/>
      <c r="AM177" s="79"/>
      <c r="AN177" s="79"/>
      <c r="AO177" s="79"/>
      <c r="AP177" s="79"/>
      <c r="AQ177" s="79"/>
      <c r="AR177" s="79"/>
      <c r="AS177" s="79"/>
      <c r="AT177" s="79"/>
      <c r="AU177" s="79"/>
      <c r="AV177" s="79"/>
      <c r="AW177" s="79"/>
    </row>
    <row r="178" spans="1:49" s="78" customFormat="1" ht="15.75">
      <c r="A178" s="119"/>
      <c r="B178" s="120"/>
      <c r="C178" s="121"/>
      <c r="D178" s="121"/>
      <c r="E178" s="121"/>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L178" s="79"/>
      <c r="AM178" s="79"/>
      <c r="AN178" s="79"/>
      <c r="AO178" s="79"/>
      <c r="AP178" s="79"/>
      <c r="AQ178" s="79"/>
      <c r="AR178" s="79"/>
      <c r="AS178" s="79"/>
      <c r="AT178" s="79"/>
      <c r="AU178" s="79"/>
      <c r="AV178" s="79"/>
      <c r="AW178" s="79"/>
    </row>
    <row r="179" spans="1:49" s="78" customFormat="1" ht="15.75">
      <c r="A179" s="119"/>
      <c r="B179" s="120"/>
      <c r="C179" s="121"/>
      <c r="D179" s="121"/>
      <c r="E179" s="121"/>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L179" s="79"/>
      <c r="AM179" s="79"/>
      <c r="AN179" s="79"/>
      <c r="AO179" s="79"/>
      <c r="AP179" s="79"/>
      <c r="AQ179" s="79"/>
      <c r="AR179" s="79"/>
      <c r="AS179" s="79"/>
      <c r="AT179" s="79"/>
      <c r="AU179" s="79"/>
      <c r="AV179" s="79"/>
      <c r="AW179" s="79"/>
    </row>
    <row r="180" spans="1:49" s="78" customFormat="1" ht="15.75">
      <c r="A180" s="119"/>
      <c r="B180" s="120"/>
      <c r="C180" s="121"/>
      <c r="D180" s="121"/>
      <c r="E180" s="121"/>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L180" s="79"/>
      <c r="AM180" s="79"/>
      <c r="AN180" s="79"/>
      <c r="AO180" s="79"/>
      <c r="AP180" s="79"/>
      <c r="AQ180" s="79"/>
      <c r="AR180" s="79"/>
      <c r="AS180" s="79"/>
      <c r="AT180" s="79"/>
      <c r="AU180" s="79"/>
      <c r="AV180" s="79"/>
      <c r="AW180" s="79"/>
    </row>
    <row r="181" spans="1:49" s="78" customFormat="1" ht="15.75">
      <c r="A181" s="119"/>
      <c r="B181" s="120"/>
      <c r="C181" s="121"/>
      <c r="D181" s="121"/>
      <c r="E181" s="121"/>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L181" s="79"/>
      <c r="AM181" s="79"/>
      <c r="AN181" s="79"/>
      <c r="AO181" s="79"/>
      <c r="AP181" s="79"/>
      <c r="AQ181" s="79"/>
      <c r="AR181" s="79"/>
      <c r="AS181" s="79"/>
      <c r="AT181" s="79"/>
      <c r="AU181" s="79"/>
      <c r="AV181" s="79"/>
      <c r="AW181" s="79"/>
    </row>
    <row r="182" spans="1:49" s="78" customFormat="1" ht="15.75">
      <c r="A182" s="119"/>
      <c r="B182" s="120"/>
      <c r="C182" s="121"/>
      <c r="D182" s="121"/>
      <c r="E182" s="121"/>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L182" s="79"/>
      <c r="AM182" s="79"/>
      <c r="AN182" s="79"/>
      <c r="AO182" s="79"/>
      <c r="AP182" s="79"/>
      <c r="AQ182" s="79"/>
      <c r="AR182" s="79"/>
      <c r="AS182" s="79"/>
      <c r="AT182" s="79"/>
      <c r="AU182" s="79"/>
      <c r="AV182" s="79"/>
      <c r="AW182" s="79"/>
    </row>
    <row r="183" spans="1:49" s="78" customFormat="1" ht="15.75">
      <c r="A183" s="119"/>
      <c r="B183" s="120"/>
      <c r="C183" s="121"/>
      <c r="D183" s="121"/>
      <c r="E183" s="121"/>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L183" s="79"/>
      <c r="AM183" s="79"/>
      <c r="AN183" s="79"/>
      <c r="AO183" s="79"/>
      <c r="AP183" s="79"/>
      <c r="AQ183" s="79"/>
      <c r="AR183" s="79"/>
      <c r="AS183" s="79"/>
      <c r="AT183" s="79"/>
      <c r="AU183" s="79"/>
      <c r="AV183" s="79"/>
      <c r="AW183" s="79"/>
    </row>
    <row r="184" spans="1:49" s="78" customFormat="1" ht="15.75">
      <c r="A184" s="119"/>
      <c r="B184" s="120"/>
      <c r="C184" s="121"/>
      <c r="D184" s="121"/>
      <c r="E184" s="121"/>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L184" s="79"/>
      <c r="AM184" s="79"/>
      <c r="AN184" s="79"/>
      <c r="AO184" s="79"/>
      <c r="AP184" s="79"/>
      <c r="AQ184" s="79"/>
      <c r="AR184" s="79"/>
      <c r="AS184" s="79"/>
      <c r="AT184" s="79"/>
      <c r="AU184" s="79"/>
      <c r="AV184" s="79"/>
      <c r="AW184" s="79"/>
    </row>
    <row r="185" spans="1:49" s="78" customFormat="1" ht="15.75">
      <c r="A185" s="119"/>
      <c r="B185" s="120"/>
      <c r="C185" s="121"/>
      <c r="D185" s="121"/>
      <c r="E185" s="121"/>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L185" s="79"/>
      <c r="AM185" s="79"/>
      <c r="AN185" s="79"/>
      <c r="AO185" s="79"/>
      <c r="AP185" s="79"/>
      <c r="AQ185" s="79"/>
      <c r="AR185" s="79"/>
      <c r="AS185" s="79"/>
      <c r="AT185" s="79"/>
      <c r="AU185" s="79"/>
      <c r="AV185" s="79"/>
      <c r="AW185" s="79"/>
    </row>
    <row r="186" spans="1:49" s="78" customFormat="1" ht="15.75">
      <c r="A186" s="119"/>
      <c r="B186" s="120"/>
      <c r="C186" s="121"/>
      <c r="D186" s="121"/>
      <c r="E186" s="121"/>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L186" s="79"/>
      <c r="AM186" s="79"/>
      <c r="AN186" s="79"/>
      <c r="AO186" s="79"/>
      <c r="AP186" s="79"/>
      <c r="AQ186" s="79"/>
      <c r="AR186" s="79"/>
      <c r="AS186" s="79"/>
      <c r="AT186" s="79"/>
      <c r="AU186" s="79"/>
      <c r="AV186" s="79"/>
      <c r="AW186" s="79"/>
    </row>
    <row r="187" spans="1:49" s="78" customFormat="1" ht="15.75">
      <c r="A187" s="119"/>
      <c r="B187" s="120"/>
      <c r="C187" s="121"/>
      <c r="D187" s="121"/>
      <c r="E187" s="121"/>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L187" s="79"/>
      <c r="AM187" s="79"/>
      <c r="AN187" s="79"/>
      <c r="AO187" s="79"/>
      <c r="AP187" s="79"/>
      <c r="AQ187" s="79"/>
      <c r="AR187" s="79"/>
      <c r="AS187" s="79"/>
      <c r="AT187" s="79"/>
      <c r="AU187" s="79"/>
      <c r="AV187" s="79"/>
      <c r="AW187" s="79"/>
    </row>
    <row r="188" spans="1:49" s="78" customFormat="1" ht="15.75">
      <c r="A188" s="119"/>
      <c r="B188" s="120"/>
      <c r="C188" s="121"/>
      <c r="D188" s="121"/>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L188" s="79"/>
      <c r="AM188" s="79"/>
      <c r="AN188" s="79"/>
      <c r="AO188" s="79"/>
      <c r="AP188" s="79"/>
      <c r="AQ188" s="79"/>
      <c r="AR188" s="79"/>
      <c r="AS188" s="79"/>
      <c r="AT188" s="79"/>
      <c r="AU188" s="79"/>
      <c r="AV188" s="79"/>
      <c r="AW188" s="79"/>
    </row>
    <row r="189" spans="1:49" s="78" customFormat="1" ht="15.75">
      <c r="A189" s="119"/>
      <c r="B189" s="120"/>
      <c r="C189" s="121"/>
      <c r="D189" s="121"/>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L189" s="79"/>
      <c r="AM189" s="79"/>
      <c r="AN189" s="79"/>
      <c r="AO189" s="79"/>
      <c r="AP189" s="79"/>
      <c r="AQ189" s="79"/>
      <c r="AR189" s="79"/>
      <c r="AS189" s="79"/>
      <c r="AT189" s="79"/>
      <c r="AU189" s="79"/>
      <c r="AV189" s="79"/>
      <c r="AW189" s="79"/>
    </row>
    <row r="190" spans="1:49" s="78" customFormat="1" ht="15.75">
      <c r="A190" s="119"/>
      <c r="B190" s="120"/>
      <c r="C190" s="121"/>
      <c r="D190" s="121"/>
      <c r="E190" s="121"/>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L190" s="79"/>
      <c r="AM190" s="79"/>
      <c r="AN190" s="79"/>
      <c r="AO190" s="79"/>
      <c r="AP190" s="79"/>
      <c r="AQ190" s="79"/>
      <c r="AR190" s="79"/>
      <c r="AS190" s="79"/>
      <c r="AT190" s="79"/>
      <c r="AU190" s="79"/>
      <c r="AV190" s="79"/>
      <c r="AW190" s="79"/>
    </row>
    <row r="191" spans="1:49" s="78" customFormat="1" ht="15.75">
      <c r="A191" s="119"/>
      <c r="B191" s="120"/>
      <c r="C191" s="121"/>
      <c r="D191" s="121"/>
      <c r="E191" s="121"/>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L191" s="79"/>
      <c r="AM191" s="79"/>
      <c r="AN191" s="79"/>
      <c r="AO191" s="79"/>
      <c r="AP191" s="79"/>
      <c r="AQ191" s="79"/>
      <c r="AR191" s="79"/>
      <c r="AS191" s="79"/>
      <c r="AT191" s="79"/>
      <c r="AU191" s="79"/>
      <c r="AV191" s="79"/>
      <c r="AW191" s="79"/>
    </row>
    <row r="192" spans="1:49" s="78" customFormat="1" ht="15.75">
      <c r="A192" s="119"/>
      <c r="B192" s="120"/>
      <c r="C192" s="121"/>
      <c r="D192" s="121"/>
      <c r="E192" s="121"/>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L192" s="79"/>
      <c r="AM192" s="79"/>
      <c r="AN192" s="79"/>
      <c r="AO192" s="79"/>
      <c r="AP192" s="79"/>
      <c r="AQ192" s="79"/>
      <c r="AR192" s="79"/>
      <c r="AS192" s="79"/>
      <c r="AT192" s="79"/>
      <c r="AU192" s="79"/>
      <c r="AV192" s="79"/>
      <c r="AW192" s="79"/>
    </row>
    <row r="193" spans="1:49" s="78" customFormat="1" ht="15.75">
      <c r="A193" s="119"/>
      <c r="B193" s="120"/>
      <c r="C193" s="121"/>
      <c r="D193" s="121"/>
      <c r="E193" s="121"/>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L193" s="79"/>
      <c r="AM193" s="79"/>
      <c r="AN193" s="79"/>
      <c r="AO193" s="79"/>
      <c r="AP193" s="79"/>
      <c r="AQ193" s="79"/>
      <c r="AR193" s="79"/>
      <c r="AS193" s="79"/>
      <c r="AT193" s="79"/>
      <c r="AU193" s="79"/>
      <c r="AV193" s="79"/>
      <c r="AW193" s="79"/>
    </row>
    <row r="194" spans="1:49" s="78" customFormat="1" ht="15.75">
      <c r="A194" s="119"/>
      <c r="B194" s="120"/>
      <c r="C194" s="121"/>
      <c r="D194" s="121"/>
      <c r="E194" s="121"/>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L194" s="79"/>
      <c r="AM194" s="79"/>
      <c r="AN194" s="79"/>
      <c r="AO194" s="79"/>
      <c r="AP194" s="79"/>
      <c r="AQ194" s="79"/>
      <c r="AR194" s="79"/>
      <c r="AS194" s="79"/>
      <c r="AT194" s="79"/>
      <c r="AU194" s="79"/>
      <c r="AV194" s="79"/>
      <c r="AW194" s="79"/>
    </row>
    <row r="195" spans="1:49" s="78" customFormat="1" ht="15.75">
      <c r="A195" s="119"/>
      <c r="B195" s="120"/>
      <c r="C195" s="121"/>
      <c r="D195" s="121"/>
      <c r="E195" s="121"/>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L195" s="79"/>
      <c r="AM195" s="79"/>
      <c r="AN195" s="79"/>
      <c r="AO195" s="79"/>
      <c r="AP195" s="79"/>
      <c r="AQ195" s="79"/>
      <c r="AR195" s="79"/>
      <c r="AS195" s="79"/>
      <c r="AT195" s="79"/>
      <c r="AU195" s="79"/>
      <c r="AV195" s="79"/>
      <c r="AW195" s="79"/>
    </row>
    <row r="196" spans="1:49" s="78" customFormat="1" ht="15.75">
      <c r="A196" s="119"/>
      <c r="B196" s="120"/>
      <c r="C196" s="121"/>
      <c r="D196" s="121"/>
      <c r="E196" s="121"/>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L196" s="79"/>
      <c r="AM196" s="79"/>
      <c r="AN196" s="79"/>
      <c r="AO196" s="79"/>
      <c r="AP196" s="79"/>
      <c r="AQ196" s="79"/>
      <c r="AR196" s="79"/>
      <c r="AS196" s="79"/>
      <c r="AT196" s="79"/>
      <c r="AU196" s="79"/>
      <c r="AV196" s="79"/>
      <c r="AW196" s="79"/>
    </row>
    <row r="197" spans="1:49" s="78" customFormat="1" ht="15.75">
      <c r="A197" s="119"/>
      <c r="B197" s="120"/>
      <c r="C197" s="121"/>
      <c r="D197" s="121"/>
      <c r="E197" s="121"/>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L197" s="79"/>
      <c r="AM197" s="79"/>
      <c r="AN197" s="79"/>
      <c r="AO197" s="79"/>
      <c r="AP197" s="79"/>
      <c r="AQ197" s="79"/>
      <c r="AR197" s="79"/>
      <c r="AS197" s="79"/>
      <c r="AT197" s="79"/>
      <c r="AU197" s="79"/>
      <c r="AV197" s="79"/>
      <c r="AW197" s="79"/>
    </row>
    <row r="198" spans="1:49" s="78" customFormat="1" ht="15.75">
      <c r="A198" s="119"/>
      <c r="B198" s="120"/>
      <c r="C198" s="121"/>
      <c r="D198" s="121"/>
      <c r="E198" s="121"/>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L198" s="79"/>
      <c r="AM198" s="79"/>
      <c r="AN198" s="79"/>
      <c r="AO198" s="79"/>
      <c r="AP198" s="79"/>
      <c r="AQ198" s="79"/>
      <c r="AR198" s="79"/>
      <c r="AS198" s="79"/>
      <c r="AT198" s="79"/>
      <c r="AU198" s="79"/>
      <c r="AV198" s="79"/>
      <c r="AW198" s="79"/>
    </row>
    <row r="199" spans="1:49" s="78" customFormat="1" ht="15.75">
      <c r="A199" s="119"/>
      <c r="B199" s="120"/>
      <c r="C199" s="121"/>
      <c r="D199" s="121"/>
      <c r="E199" s="121"/>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L199" s="79"/>
      <c r="AM199" s="79"/>
      <c r="AN199" s="79"/>
      <c r="AO199" s="79"/>
      <c r="AP199" s="79"/>
      <c r="AQ199" s="79"/>
      <c r="AR199" s="79"/>
      <c r="AS199" s="79"/>
      <c r="AT199" s="79"/>
      <c r="AU199" s="79"/>
      <c r="AV199" s="79"/>
      <c r="AW199" s="79"/>
    </row>
    <row r="200" spans="1:49" s="78" customFormat="1" ht="15.75">
      <c r="A200" s="119"/>
      <c r="B200" s="120"/>
      <c r="C200" s="121"/>
      <c r="D200" s="121"/>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L200" s="79"/>
      <c r="AM200" s="79"/>
      <c r="AN200" s="79"/>
      <c r="AO200" s="79"/>
      <c r="AP200" s="79"/>
      <c r="AQ200" s="79"/>
      <c r="AR200" s="79"/>
      <c r="AS200" s="79"/>
      <c r="AT200" s="79"/>
      <c r="AU200" s="79"/>
      <c r="AV200" s="79"/>
      <c r="AW200" s="79"/>
    </row>
    <row r="201" spans="1:49" s="78" customFormat="1" ht="15.75">
      <c r="A201" s="119"/>
      <c r="B201" s="120"/>
      <c r="C201" s="121"/>
      <c r="D201" s="121"/>
      <c r="E201" s="121"/>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L201" s="79"/>
      <c r="AM201" s="79"/>
      <c r="AN201" s="79"/>
      <c r="AO201" s="79"/>
      <c r="AP201" s="79"/>
      <c r="AQ201" s="79"/>
      <c r="AR201" s="79"/>
      <c r="AS201" s="79"/>
      <c r="AT201" s="79"/>
      <c r="AU201" s="79"/>
      <c r="AV201" s="79"/>
      <c r="AW201" s="79"/>
    </row>
    <row r="202" spans="1:49" s="78" customFormat="1" ht="15.75">
      <c r="A202" s="119"/>
      <c r="B202" s="120"/>
      <c r="C202" s="121"/>
      <c r="D202" s="121"/>
      <c r="E202" s="121"/>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L202" s="79"/>
      <c r="AM202" s="79"/>
      <c r="AN202" s="79"/>
      <c r="AO202" s="79"/>
      <c r="AP202" s="79"/>
      <c r="AQ202" s="79"/>
      <c r="AR202" s="79"/>
      <c r="AS202" s="79"/>
      <c r="AT202" s="79"/>
      <c r="AU202" s="79"/>
      <c r="AV202" s="79"/>
      <c r="AW202" s="79"/>
    </row>
    <row r="203" spans="1:49" s="78" customFormat="1" ht="15.75">
      <c r="A203" s="119"/>
      <c r="B203" s="120"/>
      <c r="C203" s="121"/>
      <c r="D203" s="121"/>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L203" s="79"/>
      <c r="AM203" s="79"/>
      <c r="AN203" s="79"/>
      <c r="AO203" s="79"/>
      <c r="AP203" s="79"/>
      <c r="AQ203" s="79"/>
      <c r="AR203" s="79"/>
      <c r="AS203" s="79"/>
      <c r="AT203" s="79"/>
      <c r="AU203" s="79"/>
      <c r="AV203" s="79"/>
      <c r="AW203" s="79"/>
    </row>
    <row r="204" spans="1:49" s="78" customFormat="1" ht="15.75">
      <c r="A204" s="119"/>
      <c r="B204" s="120"/>
      <c r="C204" s="121"/>
      <c r="D204" s="121"/>
      <c r="E204" s="121"/>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L204" s="79"/>
      <c r="AM204" s="79"/>
      <c r="AN204" s="79"/>
      <c r="AO204" s="79"/>
      <c r="AP204" s="79"/>
      <c r="AQ204" s="79"/>
      <c r="AR204" s="79"/>
      <c r="AS204" s="79"/>
      <c r="AT204" s="79"/>
      <c r="AU204" s="79"/>
      <c r="AV204" s="79"/>
      <c r="AW204" s="79"/>
    </row>
    <row r="205" spans="1:49" s="78" customFormat="1" ht="15.75">
      <c r="A205" s="119"/>
      <c r="B205" s="120"/>
      <c r="C205" s="121"/>
      <c r="D205" s="121"/>
      <c r="E205" s="121"/>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L205" s="79"/>
      <c r="AM205" s="79"/>
      <c r="AN205" s="79"/>
      <c r="AO205" s="79"/>
      <c r="AP205" s="79"/>
      <c r="AQ205" s="79"/>
      <c r="AR205" s="79"/>
      <c r="AS205" s="79"/>
      <c r="AT205" s="79"/>
      <c r="AU205" s="79"/>
      <c r="AV205" s="79"/>
      <c r="AW205" s="79"/>
    </row>
    <row r="206" spans="1:49" s="78" customFormat="1" ht="15.75">
      <c r="A206" s="119"/>
      <c r="B206" s="120"/>
      <c r="C206" s="121"/>
      <c r="D206" s="121"/>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L206" s="79"/>
      <c r="AM206" s="79"/>
      <c r="AN206" s="79"/>
      <c r="AO206" s="79"/>
      <c r="AP206" s="79"/>
      <c r="AQ206" s="79"/>
      <c r="AR206" s="79"/>
      <c r="AS206" s="79"/>
      <c r="AT206" s="79"/>
      <c r="AU206" s="79"/>
      <c r="AV206" s="79"/>
      <c r="AW206" s="79"/>
    </row>
    <row r="207" spans="1:49" s="78" customFormat="1" ht="15.75">
      <c r="A207" s="119"/>
      <c r="B207" s="120"/>
      <c r="C207" s="121"/>
      <c r="D207" s="121"/>
      <c r="E207" s="121"/>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L207" s="79"/>
      <c r="AM207" s="79"/>
      <c r="AN207" s="79"/>
      <c r="AO207" s="79"/>
      <c r="AP207" s="79"/>
      <c r="AQ207" s="79"/>
      <c r="AR207" s="79"/>
      <c r="AS207" s="79"/>
      <c r="AT207" s="79"/>
      <c r="AU207" s="79"/>
      <c r="AV207" s="79"/>
      <c r="AW207" s="79"/>
    </row>
    <row r="208" spans="1:49" s="78" customFormat="1" ht="15.75">
      <c r="A208" s="119"/>
      <c r="B208" s="120"/>
      <c r="C208" s="121"/>
      <c r="D208" s="121"/>
      <c r="E208" s="121"/>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L208" s="79"/>
      <c r="AM208" s="79"/>
      <c r="AN208" s="79"/>
      <c r="AO208" s="79"/>
      <c r="AP208" s="79"/>
      <c r="AQ208" s="79"/>
      <c r="AR208" s="79"/>
      <c r="AS208" s="79"/>
      <c r="AT208" s="79"/>
      <c r="AU208" s="79"/>
      <c r="AV208" s="79"/>
      <c r="AW208" s="79"/>
    </row>
    <row r="209" spans="1:49" s="78" customFormat="1" ht="15.75">
      <c r="A209" s="119"/>
      <c r="B209" s="120"/>
      <c r="C209" s="121"/>
      <c r="D209" s="121"/>
      <c r="E209" s="121"/>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L209" s="79"/>
      <c r="AM209" s="79"/>
      <c r="AN209" s="79"/>
      <c r="AO209" s="79"/>
      <c r="AP209" s="79"/>
      <c r="AQ209" s="79"/>
      <c r="AR209" s="79"/>
      <c r="AS209" s="79"/>
      <c r="AT209" s="79"/>
      <c r="AU209" s="79"/>
      <c r="AV209" s="79"/>
      <c r="AW209" s="79"/>
    </row>
    <row r="210" spans="1:49" s="78" customFormat="1" ht="15.75">
      <c r="A210" s="119"/>
      <c r="B210" s="120"/>
      <c r="C210" s="121"/>
      <c r="D210" s="121"/>
      <c r="E210" s="121"/>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L210" s="79"/>
      <c r="AM210" s="79"/>
      <c r="AN210" s="79"/>
      <c r="AO210" s="79"/>
      <c r="AP210" s="79"/>
      <c r="AQ210" s="79"/>
      <c r="AR210" s="79"/>
      <c r="AS210" s="79"/>
      <c r="AT210" s="79"/>
      <c r="AU210" s="79"/>
      <c r="AV210" s="79"/>
      <c r="AW210" s="79"/>
    </row>
    <row r="211" spans="1:49" s="78" customFormat="1" ht="15.75">
      <c r="A211" s="119"/>
      <c r="B211" s="120"/>
      <c r="C211" s="121"/>
      <c r="D211" s="121"/>
      <c r="E211" s="121"/>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L211" s="79"/>
      <c r="AM211" s="79"/>
      <c r="AN211" s="79"/>
      <c r="AO211" s="79"/>
      <c r="AP211" s="79"/>
      <c r="AQ211" s="79"/>
      <c r="AR211" s="79"/>
      <c r="AS211" s="79"/>
      <c r="AT211" s="79"/>
      <c r="AU211" s="79"/>
      <c r="AV211" s="79"/>
      <c r="AW211" s="79"/>
    </row>
    <row r="212" spans="1:49" s="78" customFormat="1" ht="15.75">
      <c r="A212" s="119"/>
      <c r="B212" s="120"/>
      <c r="C212" s="121"/>
      <c r="D212" s="121"/>
      <c r="E212" s="121"/>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L212" s="79"/>
      <c r="AM212" s="79"/>
      <c r="AN212" s="79"/>
      <c r="AO212" s="79"/>
      <c r="AP212" s="79"/>
      <c r="AQ212" s="79"/>
      <c r="AR212" s="79"/>
      <c r="AS212" s="79"/>
      <c r="AT212" s="79"/>
      <c r="AU212" s="79"/>
      <c r="AV212" s="79"/>
      <c r="AW212" s="79"/>
    </row>
    <row r="213" spans="1:49" s="78" customFormat="1" ht="15.75">
      <c r="A213" s="119"/>
      <c r="B213" s="120"/>
      <c r="C213" s="121"/>
      <c r="D213" s="121"/>
      <c r="E213" s="121"/>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L213" s="79"/>
      <c r="AM213" s="79"/>
      <c r="AN213" s="79"/>
      <c r="AO213" s="79"/>
      <c r="AP213" s="79"/>
      <c r="AQ213" s="79"/>
      <c r="AR213" s="79"/>
      <c r="AS213" s="79"/>
      <c r="AT213" s="79"/>
      <c r="AU213" s="79"/>
      <c r="AV213" s="79"/>
      <c r="AW213" s="79"/>
    </row>
    <row r="214" spans="1:49" s="78" customFormat="1" ht="15.75">
      <c r="A214" s="119"/>
      <c r="B214" s="120"/>
      <c r="C214" s="121"/>
      <c r="D214" s="121"/>
      <c r="E214" s="121"/>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L214" s="79"/>
      <c r="AM214" s="79"/>
      <c r="AN214" s="79"/>
      <c r="AO214" s="79"/>
      <c r="AP214" s="79"/>
      <c r="AQ214" s="79"/>
      <c r="AR214" s="79"/>
      <c r="AS214" s="79"/>
      <c r="AT214" s="79"/>
      <c r="AU214" s="79"/>
      <c r="AV214" s="79"/>
      <c r="AW214" s="79"/>
    </row>
    <row r="215" spans="1:49" s="78" customFormat="1" ht="15.75">
      <c r="A215" s="119"/>
      <c r="B215" s="120"/>
      <c r="C215" s="121"/>
      <c r="D215" s="121"/>
      <c r="E215" s="121"/>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L215" s="79"/>
      <c r="AM215" s="79"/>
      <c r="AN215" s="79"/>
      <c r="AO215" s="79"/>
      <c r="AP215" s="79"/>
      <c r="AQ215" s="79"/>
      <c r="AR215" s="79"/>
      <c r="AS215" s="79"/>
      <c r="AT215" s="79"/>
      <c r="AU215" s="79"/>
      <c r="AV215" s="79"/>
      <c r="AW215" s="79"/>
    </row>
    <row r="216" spans="1:49" s="78" customFormat="1" ht="15.75">
      <c r="A216" s="119"/>
      <c r="B216" s="120"/>
      <c r="C216" s="121"/>
      <c r="D216" s="121"/>
      <c r="E216" s="121"/>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L216" s="79"/>
      <c r="AM216" s="79"/>
      <c r="AN216" s="79"/>
      <c r="AO216" s="79"/>
      <c r="AP216" s="79"/>
      <c r="AQ216" s="79"/>
      <c r="AR216" s="79"/>
      <c r="AS216" s="79"/>
      <c r="AT216" s="79"/>
      <c r="AU216" s="79"/>
      <c r="AV216" s="79"/>
      <c r="AW216" s="79"/>
    </row>
    <row r="217" spans="1:49" s="78" customFormat="1" ht="15.75">
      <c r="A217" s="119"/>
      <c r="B217" s="120"/>
      <c r="C217" s="121"/>
      <c r="D217" s="121"/>
      <c r="E217" s="121"/>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L217" s="79"/>
      <c r="AM217" s="79"/>
      <c r="AN217" s="79"/>
      <c r="AO217" s="79"/>
      <c r="AP217" s="79"/>
      <c r="AQ217" s="79"/>
      <c r="AR217" s="79"/>
      <c r="AS217" s="79"/>
      <c r="AT217" s="79"/>
      <c r="AU217" s="79"/>
      <c r="AV217" s="79"/>
      <c r="AW217" s="79"/>
    </row>
    <row r="218" spans="1:49" s="78" customFormat="1" ht="15.75">
      <c r="A218" s="119"/>
      <c r="B218" s="120"/>
      <c r="C218" s="121"/>
      <c r="D218" s="121"/>
      <c r="E218" s="121"/>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L218" s="79"/>
      <c r="AM218" s="79"/>
      <c r="AN218" s="79"/>
      <c r="AO218" s="79"/>
      <c r="AP218" s="79"/>
      <c r="AQ218" s="79"/>
      <c r="AR218" s="79"/>
      <c r="AS218" s="79"/>
      <c r="AT218" s="79"/>
      <c r="AU218" s="79"/>
      <c r="AV218" s="79"/>
      <c r="AW218" s="79"/>
    </row>
    <row r="219" spans="1:49" s="78" customFormat="1" ht="15.75">
      <c r="A219" s="119"/>
      <c r="B219" s="120"/>
      <c r="C219" s="121"/>
      <c r="D219" s="121"/>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L219" s="79"/>
      <c r="AM219" s="79"/>
      <c r="AN219" s="79"/>
      <c r="AO219" s="79"/>
      <c r="AP219" s="79"/>
      <c r="AQ219" s="79"/>
      <c r="AR219" s="79"/>
      <c r="AS219" s="79"/>
      <c r="AT219" s="79"/>
      <c r="AU219" s="79"/>
      <c r="AV219" s="79"/>
      <c r="AW219" s="79"/>
    </row>
    <row r="220" spans="1:49" s="78" customFormat="1" ht="15.75">
      <c r="A220" s="119"/>
      <c r="B220" s="120"/>
      <c r="C220" s="121"/>
      <c r="D220" s="121"/>
      <c r="E220" s="12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L220" s="79"/>
      <c r="AM220" s="79"/>
      <c r="AN220" s="79"/>
      <c r="AO220" s="79"/>
      <c r="AP220" s="79"/>
      <c r="AQ220" s="79"/>
      <c r="AR220" s="79"/>
      <c r="AS220" s="79"/>
      <c r="AT220" s="79"/>
      <c r="AU220" s="79"/>
      <c r="AV220" s="79"/>
      <c r="AW220" s="79"/>
    </row>
    <row r="221" spans="1:49" s="78" customFormat="1" ht="15.75">
      <c r="A221" s="119"/>
      <c r="B221" s="120"/>
      <c r="C221" s="121"/>
      <c r="D221" s="121"/>
      <c r="E221" s="121"/>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L221" s="79"/>
      <c r="AM221" s="79"/>
      <c r="AN221" s="79"/>
      <c r="AO221" s="79"/>
      <c r="AP221" s="79"/>
      <c r="AQ221" s="79"/>
      <c r="AR221" s="79"/>
      <c r="AS221" s="79"/>
      <c r="AT221" s="79"/>
      <c r="AU221" s="79"/>
      <c r="AV221" s="79"/>
      <c r="AW221" s="79"/>
    </row>
    <row r="222" spans="1:49" s="78" customFormat="1" ht="15.75">
      <c r="A222" s="119"/>
      <c r="B222" s="120"/>
      <c r="C222" s="121"/>
      <c r="D222" s="121"/>
      <c r="E222" s="121"/>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L222" s="79"/>
      <c r="AM222" s="79"/>
      <c r="AN222" s="79"/>
      <c r="AO222" s="79"/>
      <c r="AP222" s="79"/>
      <c r="AQ222" s="79"/>
      <c r="AR222" s="79"/>
      <c r="AS222" s="79"/>
      <c r="AT222" s="79"/>
      <c r="AU222" s="79"/>
      <c r="AV222" s="79"/>
      <c r="AW222" s="79"/>
    </row>
    <row r="223" spans="1:49" s="78" customFormat="1" ht="15.75">
      <c r="A223" s="119"/>
      <c r="B223" s="120"/>
      <c r="C223" s="121"/>
      <c r="D223" s="121"/>
      <c r="E223" s="121"/>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L223" s="79"/>
      <c r="AM223" s="79"/>
      <c r="AN223" s="79"/>
      <c r="AO223" s="79"/>
      <c r="AP223" s="79"/>
      <c r="AQ223" s="79"/>
      <c r="AR223" s="79"/>
      <c r="AS223" s="79"/>
      <c r="AT223" s="79"/>
      <c r="AU223" s="79"/>
      <c r="AV223" s="79"/>
      <c r="AW223" s="79"/>
    </row>
    <row r="224" spans="1:49" s="78" customFormat="1" ht="15.75">
      <c r="A224" s="119"/>
      <c r="B224" s="120"/>
      <c r="C224" s="121"/>
      <c r="D224" s="121"/>
      <c r="E224" s="12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L224" s="79"/>
      <c r="AM224" s="79"/>
      <c r="AN224" s="79"/>
      <c r="AO224" s="79"/>
      <c r="AP224" s="79"/>
      <c r="AQ224" s="79"/>
      <c r="AR224" s="79"/>
      <c r="AS224" s="79"/>
      <c r="AT224" s="79"/>
      <c r="AU224" s="79"/>
      <c r="AV224" s="79"/>
      <c r="AW224" s="79"/>
    </row>
    <row r="225" spans="1:49" s="78" customFormat="1" ht="15.75">
      <c r="A225" s="119"/>
      <c r="B225" s="120"/>
      <c r="C225" s="121"/>
      <c r="D225" s="121"/>
      <c r="E225" s="12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L225" s="79"/>
      <c r="AM225" s="79"/>
      <c r="AN225" s="79"/>
      <c r="AO225" s="79"/>
      <c r="AP225" s="79"/>
      <c r="AQ225" s="79"/>
      <c r="AR225" s="79"/>
      <c r="AS225" s="79"/>
      <c r="AT225" s="79"/>
      <c r="AU225" s="79"/>
      <c r="AV225" s="79"/>
      <c r="AW225" s="79"/>
    </row>
    <row r="226" spans="1:49" s="78" customFormat="1" ht="15.75">
      <c r="A226" s="119"/>
      <c r="B226" s="120"/>
      <c r="C226" s="121"/>
      <c r="D226" s="121"/>
      <c r="E226" s="121"/>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L226" s="79"/>
      <c r="AM226" s="79"/>
      <c r="AN226" s="79"/>
      <c r="AO226" s="79"/>
      <c r="AP226" s="79"/>
      <c r="AQ226" s="79"/>
      <c r="AR226" s="79"/>
      <c r="AS226" s="79"/>
      <c r="AT226" s="79"/>
      <c r="AU226" s="79"/>
      <c r="AV226" s="79"/>
      <c r="AW226" s="79"/>
    </row>
    <row r="227" spans="1:49" s="78" customFormat="1" ht="15.75">
      <c r="A227" s="119"/>
      <c r="B227" s="120"/>
      <c r="C227" s="121"/>
      <c r="D227" s="121"/>
      <c r="E227" s="121"/>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L227" s="79"/>
      <c r="AM227" s="79"/>
      <c r="AN227" s="79"/>
      <c r="AO227" s="79"/>
      <c r="AP227" s="79"/>
      <c r="AQ227" s="79"/>
      <c r="AR227" s="79"/>
      <c r="AS227" s="79"/>
      <c r="AT227" s="79"/>
      <c r="AU227" s="79"/>
      <c r="AV227" s="79"/>
      <c r="AW227" s="79"/>
    </row>
    <row r="228" spans="1:49" s="78" customFormat="1" ht="15.75">
      <c r="A228" s="119"/>
      <c r="B228" s="120"/>
      <c r="C228" s="121"/>
      <c r="D228" s="121"/>
      <c r="E228" s="121"/>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L228" s="79"/>
      <c r="AM228" s="79"/>
      <c r="AN228" s="79"/>
      <c r="AO228" s="79"/>
      <c r="AP228" s="79"/>
      <c r="AQ228" s="79"/>
      <c r="AR228" s="79"/>
      <c r="AS228" s="79"/>
      <c r="AT228" s="79"/>
      <c r="AU228" s="79"/>
      <c r="AV228" s="79"/>
      <c r="AW228" s="79"/>
    </row>
    <row r="229" spans="1:49" s="78" customFormat="1" ht="15.75">
      <c r="A229" s="119"/>
      <c r="B229" s="120"/>
      <c r="C229" s="121"/>
      <c r="D229" s="121"/>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L229" s="79"/>
      <c r="AM229" s="79"/>
      <c r="AN229" s="79"/>
      <c r="AO229" s="79"/>
      <c r="AP229" s="79"/>
      <c r="AQ229" s="79"/>
      <c r="AR229" s="79"/>
      <c r="AS229" s="79"/>
      <c r="AT229" s="79"/>
      <c r="AU229" s="79"/>
      <c r="AV229" s="79"/>
      <c r="AW229" s="79"/>
    </row>
    <row r="230" spans="1:49" s="78" customFormat="1" ht="15.75">
      <c r="A230" s="119"/>
      <c r="B230" s="120"/>
      <c r="C230" s="121"/>
      <c r="D230" s="121"/>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L230" s="79"/>
      <c r="AM230" s="79"/>
      <c r="AN230" s="79"/>
      <c r="AO230" s="79"/>
      <c r="AP230" s="79"/>
      <c r="AQ230" s="79"/>
      <c r="AR230" s="79"/>
      <c r="AS230" s="79"/>
      <c r="AT230" s="79"/>
      <c r="AU230" s="79"/>
      <c r="AV230" s="79"/>
      <c r="AW230" s="79"/>
    </row>
    <row r="231" spans="1:49" s="78" customFormat="1" ht="15.75">
      <c r="A231" s="119"/>
      <c r="B231" s="120"/>
      <c r="C231" s="121"/>
      <c r="D231" s="121"/>
      <c r="E231" s="121"/>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L231" s="79"/>
      <c r="AM231" s="79"/>
      <c r="AN231" s="79"/>
      <c r="AO231" s="79"/>
      <c r="AP231" s="79"/>
      <c r="AQ231" s="79"/>
      <c r="AR231" s="79"/>
      <c r="AS231" s="79"/>
      <c r="AT231" s="79"/>
      <c r="AU231" s="79"/>
      <c r="AV231" s="79"/>
      <c r="AW231" s="79"/>
    </row>
    <row r="232" spans="1:49" s="78" customFormat="1" ht="15.75">
      <c r="A232" s="119"/>
      <c r="B232" s="120"/>
      <c r="C232" s="121"/>
      <c r="D232" s="121"/>
      <c r="E232" s="121"/>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L232" s="79"/>
      <c r="AM232" s="79"/>
      <c r="AN232" s="79"/>
      <c r="AO232" s="79"/>
      <c r="AP232" s="79"/>
      <c r="AQ232" s="79"/>
      <c r="AR232" s="79"/>
      <c r="AS232" s="79"/>
      <c r="AT232" s="79"/>
      <c r="AU232" s="79"/>
      <c r="AV232" s="79"/>
      <c r="AW232" s="79"/>
    </row>
    <row r="233" spans="1:49" s="78" customFormat="1" ht="15.75">
      <c r="A233" s="119"/>
      <c r="B233" s="120"/>
      <c r="C233" s="121"/>
      <c r="D233" s="121"/>
      <c r="E233" s="121"/>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L233" s="79"/>
      <c r="AM233" s="79"/>
      <c r="AN233" s="79"/>
      <c r="AO233" s="79"/>
      <c r="AP233" s="79"/>
      <c r="AQ233" s="79"/>
      <c r="AR233" s="79"/>
      <c r="AS233" s="79"/>
      <c r="AT233" s="79"/>
      <c r="AU233" s="79"/>
      <c r="AV233" s="79"/>
      <c r="AW233" s="79"/>
    </row>
    <row r="234" spans="1:49" s="78" customFormat="1" ht="15.75">
      <c r="A234" s="119"/>
      <c r="B234" s="120"/>
      <c r="C234" s="121"/>
      <c r="D234" s="121"/>
      <c r="E234" s="121"/>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L234" s="79"/>
      <c r="AM234" s="79"/>
      <c r="AN234" s="79"/>
      <c r="AO234" s="79"/>
      <c r="AP234" s="79"/>
      <c r="AQ234" s="79"/>
      <c r="AR234" s="79"/>
      <c r="AS234" s="79"/>
      <c r="AT234" s="79"/>
      <c r="AU234" s="79"/>
      <c r="AV234" s="79"/>
      <c r="AW234" s="79"/>
    </row>
    <row r="235" spans="1:49" s="78" customFormat="1" ht="15.75">
      <c r="A235" s="119"/>
      <c r="B235" s="120"/>
      <c r="C235" s="121"/>
      <c r="D235" s="121"/>
      <c r="E235" s="121"/>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L235" s="79"/>
      <c r="AM235" s="79"/>
      <c r="AN235" s="79"/>
      <c r="AO235" s="79"/>
      <c r="AP235" s="79"/>
      <c r="AQ235" s="79"/>
      <c r="AR235" s="79"/>
      <c r="AS235" s="79"/>
      <c r="AT235" s="79"/>
      <c r="AU235" s="79"/>
      <c r="AV235" s="79"/>
      <c r="AW235" s="79"/>
    </row>
    <row r="236" spans="1:49" s="78" customFormat="1" ht="15.75">
      <c r="A236" s="119"/>
      <c r="B236" s="120"/>
      <c r="C236" s="121"/>
      <c r="D236" s="121"/>
      <c r="E236" s="121"/>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L236" s="79"/>
      <c r="AM236" s="79"/>
      <c r="AN236" s="79"/>
      <c r="AO236" s="79"/>
      <c r="AP236" s="79"/>
      <c r="AQ236" s="79"/>
      <c r="AR236" s="79"/>
      <c r="AS236" s="79"/>
      <c r="AT236" s="79"/>
      <c r="AU236" s="79"/>
      <c r="AV236" s="79"/>
      <c r="AW236" s="79"/>
    </row>
    <row r="237" spans="1:49" s="78" customFormat="1" ht="15.75">
      <c r="A237" s="119"/>
      <c r="B237" s="120"/>
      <c r="C237" s="121"/>
      <c r="D237" s="121"/>
      <c r="E237" s="121"/>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L237" s="79"/>
      <c r="AM237" s="79"/>
      <c r="AN237" s="79"/>
      <c r="AO237" s="79"/>
      <c r="AP237" s="79"/>
      <c r="AQ237" s="79"/>
      <c r="AR237" s="79"/>
      <c r="AS237" s="79"/>
      <c r="AT237" s="79"/>
      <c r="AU237" s="79"/>
      <c r="AV237" s="79"/>
      <c r="AW237" s="79"/>
    </row>
    <row r="238" spans="1:49" s="78" customFormat="1" ht="15.75">
      <c r="A238" s="119"/>
      <c r="B238" s="120"/>
      <c r="C238" s="121"/>
      <c r="D238" s="121"/>
      <c r="E238" s="121"/>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L238" s="79"/>
      <c r="AM238" s="79"/>
      <c r="AN238" s="79"/>
      <c r="AO238" s="79"/>
      <c r="AP238" s="79"/>
      <c r="AQ238" s="79"/>
      <c r="AR238" s="79"/>
      <c r="AS238" s="79"/>
      <c r="AT238" s="79"/>
      <c r="AU238" s="79"/>
      <c r="AV238" s="79"/>
      <c r="AW238" s="79"/>
    </row>
    <row r="239" spans="1:49" s="78" customFormat="1" ht="15.75">
      <c r="A239" s="119"/>
      <c r="B239" s="120"/>
      <c r="C239" s="121"/>
      <c r="D239" s="121"/>
      <c r="E239" s="121"/>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L239" s="79"/>
      <c r="AM239" s="79"/>
      <c r="AN239" s="79"/>
      <c r="AO239" s="79"/>
      <c r="AP239" s="79"/>
      <c r="AQ239" s="79"/>
      <c r="AR239" s="79"/>
      <c r="AS239" s="79"/>
      <c r="AT239" s="79"/>
      <c r="AU239" s="79"/>
      <c r="AV239" s="79"/>
      <c r="AW239" s="79"/>
    </row>
    <row r="240" spans="1:49" s="78" customFormat="1" ht="15.75">
      <c r="A240" s="119"/>
      <c r="B240" s="120"/>
      <c r="C240" s="121"/>
      <c r="D240" s="121"/>
      <c r="E240" s="121"/>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L240" s="79"/>
      <c r="AM240" s="79"/>
      <c r="AN240" s="79"/>
      <c r="AO240" s="79"/>
      <c r="AP240" s="79"/>
      <c r="AQ240" s="79"/>
      <c r="AR240" s="79"/>
      <c r="AS240" s="79"/>
      <c r="AT240" s="79"/>
      <c r="AU240" s="79"/>
      <c r="AV240" s="79"/>
      <c r="AW240" s="79"/>
    </row>
    <row r="241" spans="1:49" s="78" customFormat="1" ht="15.75">
      <c r="A241" s="119"/>
      <c r="B241" s="120"/>
      <c r="C241" s="121"/>
      <c r="D241" s="121"/>
      <c r="E241" s="121"/>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L241" s="79"/>
      <c r="AM241" s="79"/>
      <c r="AN241" s="79"/>
      <c r="AO241" s="79"/>
      <c r="AP241" s="79"/>
      <c r="AQ241" s="79"/>
      <c r="AR241" s="79"/>
      <c r="AS241" s="79"/>
      <c r="AT241" s="79"/>
      <c r="AU241" s="79"/>
      <c r="AV241" s="79"/>
      <c r="AW241" s="79"/>
    </row>
    <row r="242" spans="1:49" s="78" customFormat="1" ht="15.75">
      <c r="A242" s="119"/>
      <c r="B242" s="120"/>
      <c r="C242" s="121"/>
      <c r="D242" s="121"/>
      <c r="E242" s="121"/>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L242" s="79"/>
      <c r="AM242" s="79"/>
      <c r="AN242" s="79"/>
      <c r="AO242" s="79"/>
      <c r="AP242" s="79"/>
      <c r="AQ242" s="79"/>
      <c r="AR242" s="79"/>
      <c r="AS242" s="79"/>
      <c r="AT242" s="79"/>
      <c r="AU242" s="79"/>
      <c r="AV242" s="79"/>
      <c r="AW242" s="79"/>
    </row>
    <row r="243" spans="1:49" s="78" customFormat="1" ht="15.75">
      <c r="A243" s="119"/>
      <c r="B243" s="120"/>
      <c r="C243" s="121"/>
      <c r="D243" s="121"/>
      <c r="E243" s="121"/>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L243" s="79"/>
      <c r="AM243" s="79"/>
      <c r="AN243" s="79"/>
      <c r="AO243" s="79"/>
      <c r="AP243" s="79"/>
      <c r="AQ243" s="79"/>
      <c r="AR243" s="79"/>
      <c r="AS243" s="79"/>
      <c r="AT243" s="79"/>
      <c r="AU243" s="79"/>
      <c r="AV243" s="79"/>
      <c r="AW243" s="79"/>
    </row>
    <row r="244" spans="1:49" s="78" customFormat="1" ht="15.75">
      <c r="A244" s="119"/>
      <c r="B244" s="120"/>
      <c r="C244" s="121"/>
      <c r="D244" s="121"/>
      <c r="E244" s="121"/>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L244" s="79"/>
      <c r="AM244" s="79"/>
      <c r="AN244" s="79"/>
      <c r="AO244" s="79"/>
      <c r="AP244" s="79"/>
      <c r="AQ244" s="79"/>
      <c r="AR244" s="79"/>
      <c r="AS244" s="79"/>
      <c r="AT244" s="79"/>
      <c r="AU244" s="79"/>
      <c r="AV244" s="79"/>
      <c r="AW244" s="79"/>
    </row>
    <row r="245" spans="1:49" s="78" customFormat="1" ht="15.75">
      <c r="A245" s="119"/>
      <c r="B245" s="120"/>
      <c r="C245" s="121"/>
      <c r="D245" s="121"/>
      <c r="E245" s="121"/>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L245" s="79"/>
      <c r="AM245" s="79"/>
      <c r="AN245" s="79"/>
      <c r="AO245" s="79"/>
      <c r="AP245" s="79"/>
      <c r="AQ245" s="79"/>
      <c r="AR245" s="79"/>
      <c r="AS245" s="79"/>
      <c r="AT245" s="79"/>
      <c r="AU245" s="79"/>
      <c r="AV245" s="79"/>
      <c r="AW245" s="79"/>
    </row>
    <row r="246" spans="1:49" s="78" customFormat="1" ht="15.75">
      <c r="A246" s="119"/>
      <c r="B246" s="120"/>
      <c r="C246" s="121"/>
      <c r="D246" s="121"/>
      <c r="E246" s="121"/>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L246" s="79"/>
      <c r="AM246" s="79"/>
      <c r="AN246" s="79"/>
      <c r="AO246" s="79"/>
      <c r="AP246" s="79"/>
      <c r="AQ246" s="79"/>
      <c r="AR246" s="79"/>
      <c r="AS246" s="79"/>
      <c r="AT246" s="79"/>
      <c r="AU246" s="79"/>
      <c r="AV246" s="79"/>
      <c r="AW246" s="79"/>
    </row>
    <row r="247" spans="1:49" s="78" customFormat="1" ht="15.75">
      <c r="A247" s="119"/>
      <c r="B247" s="120"/>
      <c r="C247" s="121"/>
      <c r="D247" s="121"/>
      <c r="E247" s="121"/>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L247" s="79"/>
      <c r="AM247" s="79"/>
      <c r="AN247" s="79"/>
      <c r="AO247" s="79"/>
      <c r="AP247" s="79"/>
      <c r="AQ247" s="79"/>
      <c r="AR247" s="79"/>
      <c r="AS247" s="79"/>
      <c r="AT247" s="79"/>
      <c r="AU247" s="79"/>
      <c r="AV247" s="79"/>
      <c r="AW247" s="79"/>
    </row>
    <row r="248" spans="1:49" s="78" customFormat="1" ht="15.75">
      <c r="A248" s="119"/>
      <c r="B248" s="120"/>
      <c r="C248" s="121"/>
      <c r="D248" s="12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L248" s="79"/>
      <c r="AM248" s="79"/>
      <c r="AN248" s="79"/>
      <c r="AO248" s="79"/>
      <c r="AP248" s="79"/>
      <c r="AQ248" s="79"/>
      <c r="AR248" s="79"/>
      <c r="AS248" s="79"/>
      <c r="AT248" s="79"/>
      <c r="AU248" s="79"/>
      <c r="AV248" s="79"/>
      <c r="AW248" s="79"/>
    </row>
    <row r="249" spans="1:49" s="78" customFormat="1" ht="15.75">
      <c r="A249" s="119"/>
      <c r="B249" s="120"/>
      <c r="C249" s="121"/>
      <c r="D249" s="121"/>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L249" s="79"/>
      <c r="AM249" s="79"/>
      <c r="AN249" s="79"/>
      <c r="AO249" s="79"/>
      <c r="AP249" s="79"/>
      <c r="AQ249" s="79"/>
      <c r="AR249" s="79"/>
      <c r="AS249" s="79"/>
      <c r="AT249" s="79"/>
      <c r="AU249" s="79"/>
      <c r="AV249" s="79"/>
      <c r="AW249" s="79"/>
    </row>
    <row r="250" spans="1:49" s="78" customFormat="1" ht="15.75">
      <c r="A250" s="119"/>
      <c r="B250" s="120"/>
      <c r="C250" s="121"/>
      <c r="D250" s="121"/>
      <c r="E250" s="121"/>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L250" s="79"/>
      <c r="AM250" s="79"/>
      <c r="AN250" s="79"/>
      <c r="AO250" s="79"/>
      <c r="AP250" s="79"/>
      <c r="AQ250" s="79"/>
      <c r="AR250" s="79"/>
      <c r="AS250" s="79"/>
      <c r="AT250" s="79"/>
      <c r="AU250" s="79"/>
      <c r="AV250" s="79"/>
      <c r="AW250" s="79"/>
    </row>
    <row r="251" spans="1:49" s="78" customFormat="1" ht="15.75">
      <c r="A251" s="119"/>
      <c r="B251" s="120"/>
      <c r="C251" s="121"/>
      <c r="D251" s="121"/>
      <c r="E251" s="121"/>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L251" s="79"/>
      <c r="AM251" s="79"/>
      <c r="AN251" s="79"/>
      <c r="AO251" s="79"/>
      <c r="AP251" s="79"/>
      <c r="AQ251" s="79"/>
      <c r="AR251" s="79"/>
      <c r="AS251" s="79"/>
      <c r="AT251" s="79"/>
      <c r="AU251" s="79"/>
      <c r="AV251" s="79"/>
      <c r="AW251" s="79"/>
    </row>
    <row r="252" spans="1:49" s="78" customFormat="1" ht="15.75">
      <c r="A252" s="119"/>
      <c r="B252" s="120"/>
      <c r="C252" s="121"/>
      <c r="D252" s="121"/>
      <c r="E252" s="121"/>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L252" s="79"/>
      <c r="AM252" s="79"/>
      <c r="AN252" s="79"/>
      <c r="AO252" s="79"/>
      <c r="AP252" s="79"/>
      <c r="AQ252" s="79"/>
      <c r="AR252" s="79"/>
      <c r="AS252" s="79"/>
      <c r="AT252" s="79"/>
      <c r="AU252" s="79"/>
      <c r="AV252" s="79"/>
      <c r="AW252" s="79"/>
    </row>
    <row r="253" spans="1:49" s="78" customFormat="1" ht="15.75">
      <c r="A253" s="119"/>
      <c r="B253" s="120"/>
      <c r="C253" s="121"/>
      <c r="D253" s="121"/>
      <c r="E253" s="121"/>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L253" s="79"/>
      <c r="AM253" s="79"/>
      <c r="AN253" s="79"/>
      <c r="AO253" s="79"/>
      <c r="AP253" s="79"/>
      <c r="AQ253" s="79"/>
      <c r="AR253" s="79"/>
      <c r="AS253" s="79"/>
      <c r="AT253" s="79"/>
      <c r="AU253" s="79"/>
      <c r="AV253" s="79"/>
      <c r="AW253" s="79"/>
    </row>
    <row r="254" spans="1:49" s="78" customFormat="1" ht="15.75">
      <c r="A254" s="119"/>
      <c r="B254" s="120"/>
      <c r="C254" s="121"/>
      <c r="D254" s="121"/>
      <c r="E254" s="121"/>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L254" s="79"/>
      <c r="AM254" s="79"/>
      <c r="AN254" s="79"/>
      <c r="AO254" s="79"/>
      <c r="AP254" s="79"/>
      <c r="AQ254" s="79"/>
      <c r="AR254" s="79"/>
      <c r="AS254" s="79"/>
      <c r="AT254" s="79"/>
      <c r="AU254" s="79"/>
      <c r="AV254" s="79"/>
      <c r="AW254" s="79"/>
    </row>
    <row r="255" spans="1:49" s="78" customFormat="1" ht="15.75">
      <c r="A255" s="119"/>
      <c r="B255" s="120"/>
      <c r="C255" s="121"/>
      <c r="D255" s="121"/>
      <c r="E255" s="121"/>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L255" s="79"/>
      <c r="AM255" s="79"/>
      <c r="AN255" s="79"/>
      <c r="AO255" s="79"/>
      <c r="AP255" s="79"/>
      <c r="AQ255" s="79"/>
      <c r="AR255" s="79"/>
      <c r="AS255" s="79"/>
      <c r="AT255" s="79"/>
      <c r="AU255" s="79"/>
      <c r="AV255" s="79"/>
      <c r="AW255" s="79"/>
    </row>
    <row r="256" spans="1:49" s="78" customFormat="1" ht="15.75">
      <c r="A256" s="119"/>
      <c r="B256" s="120"/>
      <c r="C256" s="121"/>
      <c r="D256" s="121"/>
      <c r="E256" s="121"/>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L256" s="79"/>
      <c r="AM256" s="79"/>
      <c r="AN256" s="79"/>
      <c r="AO256" s="79"/>
      <c r="AP256" s="79"/>
      <c r="AQ256" s="79"/>
      <c r="AR256" s="79"/>
      <c r="AS256" s="79"/>
      <c r="AT256" s="79"/>
      <c r="AU256" s="79"/>
      <c r="AV256" s="79"/>
      <c r="AW256" s="79"/>
    </row>
    <row r="257" spans="1:49" s="78" customFormat="1" ht="15.75">
      <c r="A257" s="119"/>
      <c r="B257" s="120"/>
      <c r="C257" s="121"/>
      <c r="D257" s="121"/>
      <c r="E257" s="121"/>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L257" s="79"/>
      <c r="AM257" s="79"/>
      <c r="AN257" s="79"/>
      <c r="AO257" s="79"/>
      <c r="AP257" s="79"/>
      <c r="AQ257" s="79"/>
      <c r="AR257" s="79"/>
      <c r="AS257" s="79"/>
      <c r="AT257" s="79"/>
      <c r="AU257" s="79"/>
      <c r="AV257" s="79"/>
      <c r="AW257" s="79"/>
    </row>
    <row r="258" spans="1:49" s="78" customFormat="1" ht="15.75">
      <c r="A258" s="119"/>
      <c r="B258" s="120"/>
      <c r="C258" s="121"/>
      <c r="D258" s="121"/>
      <c r="E258" s="121"/>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L258" s="79"/>
      <c r="AM258" s="79"/>
      <c r="AN258" s="79"/>
      <c r="AO258" s="79"/>
      <c r="AP258" s="79"/>
      <c r="AQ258" s="79"/>
      <c r="AR258" s="79"/>
      <c r="AS258" s="79"/>
      <c r="AT258" s="79"/>
      <c r="AU258" s="79"/>
      <c r="AV258" s="79"/>
      <c r="AW258" s="79"/>
    </row>
    <row r="259" spans="1:49" s="78" customFormat="1" ht="15.75">
      <c r="A259" s="119"/>
      <c r="B259" s="120"/>
      <c r="C259" s="121"/>
      <c r="D259" s="121"/>
      <c r="E259" s="121"/>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L259" s="79"/>
      <c r="AM259" s="79"/>
      <c r="AN259" s="79"/>
      <c r="AO259" s="79"/>
      <c r="AP259" s="79"/>
      <c r="AQ259" s="79"/>
      <c r="AR259" s="79"/>
      <c r="AS259" s="79"/>
      <c r="AT259" s="79"/>
      <c r="AU259" s="79"/>
      <c r="AV259" s="79"/>
      <c r="AW259" s="79"/>
    </row>
    <row r="260" spans="1:49" s="78" customFormat="1" ht="15.75">
      <c r="A260" s="119"/>
      <c r="B260" s="120"/>
      <c r="C260" s="121"/>
      <c r="D260" s="121"/>
      <c r="E260" s="121"/>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L260" s="79"/>
      <c r="AM260" s="79"/>
      <c r="AN260" s="79"/>
      <c r="AO260" s="79"/>
      <c r="AP260" s="79"/>
      <c r="AQ260" s="79"/>
      <c r="AR260" s="79"/>
      <c r="AS260" s="79"/>
      <c r="AT260" s="79"/>
      <c r="AU260" s="79"/>
      <c r="AV260" s="79"/>
      <c r="AW260" s="79"/>
    </row>
    <row r="261" spans="1:49" s="78" customFormat="1" ht="15.75">
      <c r="A261" s="119"/>
      <c r="B261" s="120"/>
      <c r="C261" s="121"/>
      <c r="D261" s="121"/>
      <c r="E261" s="121"/>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L261" s="79"/>
      <c r="AM261" s="79"/>
      <c r="AN261" s="79"/>
      <c r="AO261" s="79"/>
      <c r="AP261" s="79"/>
      <c r="AQ261" s="79"/>
      <c r="AR261" s="79"/>
      <c r="AS261" s="79"/>
      <c r="AT261" s="79"/>
      <c r="AU261" s="79"/>
      <c r="AV261" s="79"/>
      <c r="AW261" s="79"/>
    </row>
    <row r="262" spans="1:49" s="78" customFormat="1" ht="15.75">
      <c r="A262" s="119"/>
      <c r="B262" s="120"/>
      <c r="C262" s="121"/>
      <c r="D262" s="121"/>
      <c r="E262" s="121"/>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L262" s="79"/>
      <c r="AM262" s="79"/>
      <c r="AN262" s="79"/>
      <c r="AO262" s="79"/>
      <c r="AP262" s="79"/>
      <c r="AQ262" s="79"/>
      <c r="AR262" s="79"/>
      <c r="AS262" s="79"/>
      <c r="AT262" s="79"/>
      <c r="AU262" s="79"/>
      <c r="AV262" s="79"/>
      <c r="AW262" s="79"/>
    </row>
    <row r="263" spans="1:49" s="78" customFormat="1" ht="15.75">
      <c r="A263" s="119"/>
      <c r="B263" s="120"/>
      <c r="C263" s="121"/>
      <c r="D263" s="121"/>
      <c r="E263" s="121"/>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L263" s="79"/>
      <c r="AM263" s="79"/>
      <c r="AN263" s="79"/>
      <c r="AO263" s="79"/>
      <c r="AP263" s="79"/>
      <c r="AQ263" s="79"/>
      <c r="AR263" s="79"/>
      <c r="AS263" s="79"/>
      <c r="AT263" s="79"/>
      <c r="AU263" s="79"/>
      <c r="AV263" s="79"/>
      <c r="AW263" s="79"/>
    </row>
    <row r="264" spans="1:49" s="78" customFormat="1" ht="15.75">
      <c r="A264" s="119"/>
      <c r="B264" s="120"/>
      <c r="C264" s="121"/>
      <c r="D264" s="121"/>
      <c r="E264" s="121"/>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L264" s="79"/>
      <c r="AM264" s="79"/>
      <c r="AN264" s="79"/>
      <c r="AO264" s="79"/>
      <c r="AP264" s="79"/>
      <c r="AQ264" s="79"/>
      <c r="AR264" s="79"/>
      <c r="AS264" s="79"/>
      <c r="AT264" s="79"/>
      <c r="AU264" s="79"/>
      <c r="AV264" s="79"/>
      <c r="AW264" s="79"/>
    </row>
    <row r="265" spans="1:49" s="78" customFormat="1" ht="15.75">
      <c r="A265" s="119"/>
      <c r="B265" s="120"/>
      <c r="C265" s="121"/>
      <c r="D265" s="121"/>
      <c r="E265" s="121"/>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L265" s="79"/>
      <c r="AM265" s="79"/>
      <c r="AN265" s="79"/>
      <c r="AO265" s="79"/>
      <c r="AP265" s="79"/>
      <c r="AQ265" s="79"/>
      <c r="AR265" s="79"/>
      <c r="AS265" s="79"/>
      <c r="AT265" s="79"/>
      <c r="AU265" s="79"/>
      <c r="AV265" s="79"/>
      <c r="AW265" s="79"/>
    </row>
    <row r="266" spans="1:49" s="78" customFormat="1" ht="15.75">
      <c r="A266" s="119"/>
      <c r="B266" s="120"/>
      <c r="C266" s="121"/>
      <c r="D266" s="121"/>
      <c r="E266" s="121"/>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L266" s="79"/>
      <c r="AM266" s="79"/>
      <c r="AN266" s="79"/>
      <c r="AO266" s="79"/>
      <c r="AP266" s="79"/>
      <c r="AQ266" s="79"/>
      <c r="AR266" s="79"/>
      <c r="AS266" s="79"/>
      <c r="AT266" s="79"/>
      <c r="AU266" s="79"/>
      <c r="AV266" s="79"/>
      <c r="AW266" s="79"/>
    </row>
    <row r="267" spans="1:49" s="78" customFormat="1" ht="15.75">
      <c r="A267" s="119"/>
      <c r="B267" s="120"/>
      <c r="C267" s="121"/>
      <c r="D267" s="121"/>
      <c r="E267" s="121"/>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L267" s="79"/>
      <c r="AM267" s="79"/>
      <c r="AN267" s="79"/>
      <c r="AO267" s="79"/>
      <c r="AP267" s="79"/>
      <c r="AQ267" s="79"/>
      <c r="AR267" s="79"/>
      <c r="AS267" s="79"/>
      <c r="AT267" s="79"/>
      <c r="AU267" s="79"/>
      <c r="AV267" s="79"/>
      <c r="AW267" s="79"/>
    </row>
    <row r="268" spans="1:49" s="78" customFormat="1" ht="15.75">
      <c r="A268" s="119"/>
      <c r="B268" s="120"/>
      <c r="C268" s="121"/>
      <c r="D268" s="121"/>
      <c r="E268" s="121"/>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L268" s="79"/>
      <c r="AM268" s="79"/>
      <c r="AN268" s="79"/>
      <c r="AO268" s="79"/>
      <c r="AP268" s="79"/>
      <c r="AQ268" s="79"/>
      <c r="AR268" s="79"/>
      <c r="AS268" s="79"/>
      <c r="AT268" s="79"/>
      <c r="AU268" s="79"/>
      <c r="AV268" s="79"/>
      <c r="AW268" s="79"/>
    </row>
    <row r="269" spans="1:49" s="78" customFormat="1" ht="15.75">
      <c r="A269" s="119"/>
      <c r="B269" s="120"/>
      <c r="C269" s="121"/>
      <c r="D269" s="121"/>
      <c r="E269" s="121"/>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L269" s="79"/>
      <c r="AM269" s="79"/>
      <c r="AN269" s="79"/>
      <c r="AO269" s="79"/>
      <c r="AP269" s="79"/>
      <c r="AQ269" s="79"/>
      <c r="AR269" s="79"/>
      <c r="AS269" s="79"/>
      <c r="AT269" s="79"/>
      <c r="AU269" s="79"/>
      <c r="AV269" s="79"/>
      <c r="AW269" s="79"/>
    </row>
    <row r="270" spans="1:49" s="78" customFormat="1" ht="15.75">
      <c r="A270" s="119"/>
      <c r="B270" s="120"/>
      <c r="C270" s="121"/>
      <c r="D270" s="121"/>
      <c r="E270" s="121"/>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L270" s="79"/>
      <c r="AM270" s="79"/>
      <c r="AN270" s="79"/>
      <c r="AO270" s="79"/>
      <c r="AP270" s="79"/>
      <c r="AQ270" s="79"/>
      <c r="AR270" s="79"/>
      <c r="AS270" s="79"/>
      <c r="AT270" s="79"/>
      <c r="AU270" s="79"/>
      <c r="AV270" s="79"/>
      <c r="AW270" s="79"/>
    </row>
    <row r="271" spans="1:49" s="78" customFormat="1" ht="15.75">
      <c r="A271" s="119"/>
      <c r="B271" s="120"/>
      <c r="C271" s="121"/>
      <c r="D271" s="121"/>
      <c r="E271" s="121"/>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L271" s="79"/>
      <c r="AM271" s="79"/>
      <c r="AN271" s="79"/>
      <c r="AO271" s="79"/>
      <c r="AP271" s="79"/>
      <c r="AQ271" s="79"/>
      <c r="AR271" s="79"/>
      <c r="AS271" s="79"/>
      <c r="AT271" s="79"/>
      <c r="AU271" s="79"/>
      <c r="AV271" s="79"/>
      <c r="AW271" s="79"/>
    </row>
    <row r="272" spans="1:49" s="78" customFormat="1" ht="15.75">
      <c r="A272" s="119"/>
      <c r="B272" s="120"/>
      <c r="C272" s="121"/>
      <c r="D272" s="121"/>
      <c r="E272" s="121"/>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L272" s="79"/>
      <c r="AM272" s="79"/>
      <c r="AN272" s="79"/>
      <c r="AO272" s="79"/>
      <c r="AP272" s="79"/>
      <c r="AQ272" s="79"/>
      <c r="AR272" s="79"/>
      <c r="AS272" s="79"/>
      <c r="AT272" s="79"/>
      <c r="AU272" s="79"/>
      <c r="AV272" s="79"/>
      <c r="AW272" s="79"/>
    </row>
    <row r="273" spans="1:49" s="78" customFormat="1" ht="15.75">
      <c r="A273" s="119"/>
      <c r="B273" s="120"/>
      <c r="C273" s="121"/>
      <c r="D273" s="121"/>
      <c r="E273" s="121"/>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L273" s="79"/>
      <c r="AM273" s="79"/>
      <c r="AN273" s="79"/>
      <c r="AO273" s="79"/>
      <c r="AP273" s="79"/>
      <c r="AQ273" s="79"/>
      <c r="AR273" s="79"/>
      <c r="AS273" s="79"/>
      <c r="AT273" s="79"/>
      <c r="AU273" s="79"/>
      <c r="AV273" s="79"/>
      <c r="AW273" s="79"/>
    </row>
    <row r="274" spans="1:49" s="78" customFormat="1" ht="15.75">
      <c r="A274" s="119"/>
      <c r="B274" s="120"/>
      <c r="C274" s="121"/>
      <c r="D274" s="121"/>
      <c r="E274" s="121"/>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L274" s="79"/>
      <c r="AM274" s="79"/>
      <c r="AN274" s="79"/>
      <c r="AO274" s="79"/>
      <c r="AP274" s="79"/>
      <c r="AQ274" s="79"/>
      <c r="AR274" s="79"/>
      <c r="AS274" s="79"/>
      <c r="AT274" s="79"/>
      <c r="AU274" s="79"/>
      <c r="AV274" s="79"/>
      <c r="AW274" s="79"/>
    </row>
    <row r="275" spans="1:49" s="78" customFormat="1" ht="15.75">
      <c r="A275" s="119"/>
      <c r="B275" s="120"/>
      <c r="C275" s="121"/>
      <c r="D275" s="121"/>
      <c r="E275" s="121"/>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L275" s="79"/>
      <c r="AM275" s="79"/>
      <c r="AN275" s="79"/>
      <c r="AO275" s="79"/>
      <c r="AP275" s="79"/>
      <c r="AQ275" s="79"/>
      <c r="AR275" s="79"/>
      <c r="AS275" s="79"/>
      <c r="AT275" s="79"/>
      <c r="AU275" s="79"/>
      <c r="AV275" s="79"/>
      <c r="AW275" s="79"/>
    </row>
    <row r="276" spans="1:49" s="78" customFormat="1" ht="15.75">
      <c r="A276" s="119"/>
      <c r="B276" s="120"/>
      <c r="C276" s="121"/>
      <c r="D276" s="121"/>
      <c r="E276" s="121"/>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L276" s="79"/>
      <c r="AM276" s="79"/>
      <c r="AN276" s="79"/>
      <c r="AO276" s="79"/>
      <c r="AP276" s="79"/>
      <c r="AQ276" s="79"/>
      <c r="AR276" s="79"/>
      <c r="AS276" s="79"/>
      <c r="AT276" s="79"/>
      <c r="AU276" s="79"/>
      <c r="AV276" s="79"/>
      <c r="AW276" s="79"/>
    </row>
    <row r="277" spans="1:49" s="78" customFormat="1" ht="15.75">
      <c r="A277" s="119"/>
      <c r="B277" s="120"/>
      <c r="C277" s="121"/>
      <c r="D277" s="121"/>
      <c r="E277" s="121"/>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L277" s="79"/>
      <c r="AM277" s="79"/>
      <c r="AN277" s="79"/>
      <c r="AO277" s="79"/>
      <c r="AP277" s="79"/>
      <c r="AQ277" s="79"/>
      <c r="AR277" s="79"/>
      <c r="AS277" s="79"/>
      <c r="AT277" s="79"/>
      <c r="AU277" s="79"/>
      <c r="AV277" s="79"/>
      <c r="AW277" s="79"/>
    </row>
    <row r="278" spans="1:49" s="78" customFormat="1" ht="15.75">
      <c r="A278" s="119"/>
      <c r="B278" s="120"/>
      <c r="C278" s="121"/>
      <c r="D278" s="121"/>
      <c r="E278" s="121"/>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L278" s="79"/>
      <c r="AM278" s="79"/>
      <c r="AN278" s="79"/>
      <c r="AO278" s="79"/>
      <c r="AP278" s="79"/>
      <c r="AQ278" s="79"/>
      <c r="AR278" s="79"/>
      <c r="AS278" s="79"/>
      <c r="AT278" s="79"/>
      <c r="AU278" s="79"/>
      <c r="AV278" s="79"/>
      <c r="AW278" s="79"/>
    </row>
    <row r="279" spans="1:49" s="78" customFormat="1" ht="15.75">
      <c r="A279" s="119"/>
      <c r="B279" s="120"/>
      <c r="C279" s="121"/>
      <c r="D279" s="121"/>
      <c r="E279" s="121"/>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L279" s="79"/>
      <c r="AM279" s="79"/>
      <c r="AN279" s="79"/>
      <c r="AO279" s="79"/>
      <c r="AP279" s="79"/>
      <c r="AQ279" s="79"/>
      <c r="AR279" s="79"/>
      <c r="AS279" s="79"/>
      <c r="AT279" s="79"/>
      <c r="AU279" s="79"/>
      <c r="AV279" s="79"/>
      <c r="AW279" s="79"/>
    </row>
    <row r="280" spans="1:49" s="78" customFormat="1" ht="15.75">
      <c r="A280" s="119"/>
      <c r="B280" s="120"/>
      <c r="C280" s="121"/>
      <c r="D280" s="121"/>
      <c r="E280" s="121"/>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L280" s="79"/>
      <c r="AM280" s="79"/>
      <c r="AN280" s="79"/>
      <c r="AO280" s="79"/>
      <c r="AP280" s="79"/>
      <c r="AQ280" s="79"/>
      <c r="AR280" s="79"/>
      <c r="AS280" s="79"/>
      <c r="AT280" s="79"/>
      <c r="AU280" s="79"/>
      <c r="AV280" s="79"/>
      <c r="AW280" s="79"/>
    </row>
    <row r="281" spans="1:49" s="78" customFormat="1" ht="15.75">
      <c r="A281" s="119"/>
      <c r="B281" s="120"/>
      <c r="C281" s="121"/>
      <c r="D281" s="121"/>
      <c r="E281" s="121"/>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L281" s="79"/>
      <c r="AM281" s="79"/>
      <c r="AN281" s="79"/>
      <c r="AO281" s="79"/>
      <c r="AP281" s="79"/>
      <c r="AQ281" s="79"/>
      <c r="AR281" s="79"/>
      <c r="AS281" s="79"/>
      <c r="AT281" s="79"/>
      <c r="AU281" s="79"/>
      <c r="AV281" s="79"/>
      <c r="AW281" s="79"/>
    </row>
    <row r="282" spans="1:49" s="78" customFormat="1" ht="15.75">
      <c r="A282" s="119"/>
      <c r="B282" s="120"/>
      <c r="C282" s="121"/>
      <c r="D282" s="121"/>
      <c r="E282" s="121"/>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L282" s="79"/>
      <c r="AM282" s="79"/>
      <c r="AN282" s="79"/>
      <c r="AO282" s="79"/>
      <c r="AP282" s="79"/>
      <c r="AQ282" s="79"/>
      <c r="AR282" s="79"/>
      <c r="AS282" s="79"/>
      <c r="AT282" s="79"/>
      <c r="AU282" s="79"/>
      <c r="AV282" s="79"/>
      <c r="AW282" s="79"/>
    </row>
    <row r="283" spans="1:49" s="78" customFormat="1" ht="15.75">
      <c r="A283" s="119"/>
      <c r="B283" s="120"/>
      <c r="C283" s="121"/>
      <c r="D283" s="121"/>
      <c r="E283" s="121"/>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L283" s="79"/>
      <c r="AM283" s="79"/>
      <c r="AN283" s="79"/>
      <c r="AO283" s="79"/>
      <c r="AP283" s="79"/>
      <c r="AQ283" s="79"/>
      <c r="AR283" s="79"/>
      <c r="AS283" s="79"/>
      <c r="AT283" s="79"/>
      <c r="AU283" s="79"/>
      <c r="AV283" s="79"/>
      <c r="AW283" s="79"/>
    </row>
    <row r="284" spans="1:49" s="78" customFormat="1" ht="15.75">
      <c r="A284" s="119"/>
      <c r="B284" s="120"/>
      <c r="C284" s="121"/>
      <c r="D284" s="121"/>
      <c r="E284" s="121"/>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L284" s="79"/>
      <c r="AM284" s="79"/>
      <c r="AN284" s="79"/>
      <c r="AO284" s="79"/>
      <c r="AP284" s="79"/>
      <c r="AQ284" s="79"/>
      <c r="AR284" s="79"/>
      <c r="AS284" s="79"/>
      <c r="AT284" s="79"/>
      <c r="AU284" s="79"/>
      <c r="AV284" s="79"/>
      <c r="AW284" s="79"/>
    </row>
    <row r="285" spans="1:49" s="78" customFormat="1" ht="15.75">
      <c r="A285" s="119"/>
      <c r="B285" s="120"/>
      <c r="C285" s="121"/>
      <c r="D285" s="121"/>
      <c r="E285" s="121"/>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L285" s="79"/>
      <c r="AM285" s="79"/>
      <c r="AN285" s="79"/>
      <c r="AO285" s="79"/>
      <c r="AP285" s="79"/>
      <c r="AQ285" s="79"/>
      <c r="AR285" s="79"/>
      <c r="AS285" s="79"/>
      <c r="AT285" s="79"/>
      <c r="AU285" s="79"/>
      <c r="AV285" s="79"/>
      <c r="AW285" s="79"/>
    </row>
    <row r="286" spans="1:49" s="78" customFormat="1" ht="15.75">
      <c r="A286" s="119"/>
      <c r="B286" s="120"/>
      <c r="C286" s="121"/>
      <c r="D286" s="121"/>
      <c r="E286" s="121"/>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L286" s="79"/>
      <c r="AM286" s="79"/>
      <c r="AN286" s="79"/>
      <c r="AO286" s="79"/>
      <c r="AP286" s="79"/>
      <c r="AQ286" s="79"/>
      <c r="AR286" s="79"/>
      <c r="AS286" s="79"/>
      <c r="AT286" s="79"/>
      <c r="AU286" s="79"/>
      <c r="AV286" s="79"/>
      <c r="AW286" s="79"/>
    </row>
    <row r="287" spans="1:49" s="78" customFormat="1" ht="15.75">
      <c r="A287" s="119"/>
      <c r="B287" s="120"/>
      <c r="C287" s="121"/>
      <c r="D287" s="121"/>
      <c r="E287" s="121"/>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L287" s="79"/>
      <c r="AM287" s="79"/>
      <c r="AN287" s="79"/>
      <c r="AO287" s="79"/>
      <c r="AP287" s="79"/>
      <c r="AQ287" s="79"/>
      <c r="AR287" s="79"/>
      <c r="AS287" s="79"/>
      <c r="AT287" s="79"/>
      <c r="AU287" s="79"/>
      <c r="AV287" s="79"/>
      <c r="AW287" s="79"/>
    </row>
    <row r="288" spans="1:49" s="78" customFormat="1" ht="15.75">
      <c r="A288" s="119"/>
      <c r="B288" s="120"/>
      <c r="C288" s="121"/>
      <c r="D288" s="121"/>
      <c r="E288" s="121"/>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L288" s="79"/>
      <c r="AM288" s="79"/>
      <c r="AN288" s="79"/>
      <c r="AO288" s="79"/>
      <c r="AP288" s="79"/>
      <c r="AQ288" s="79"/>
      <c r="AR288" s="79"/>
      <c r="AS288" s="79"/>
      <c r="AT288" s="79"/>
      <c r="AU288" s="79"/>
      <c r="AV288" s="79"/>
      <c r="AW288" s="79"/>
    </row>
    <row r="289" spans="1:49" s="78" customFormat="1" ht="15.75">
      <c r="A289" s="119"/>
      <c r="B289" s="120"/>
      <c r="C289" s="121"/>
      <c r="D289" s="121"/>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L289" s="79"/>
      <c r="AM289" s="79"/>
      <c r="AN289" s="79"/>
      <c r="AO289" s="79"/>
      <c r="AP289" s="79"/>
      <c r="AQ289" s="79"/>
      <c r="AR289" s="79"/>
      <c r="AS289" s="79"/>
      <c r="AT289" s="79"/>
      <c r="AU289" s="79"/>
      <c r="AV289" s="79"/>
      <c r="AW289" s="79"/>
    </row>
    <row r="290" spans="1:49" s="78" customFormat="1" ht="15.75">
      <c r="A290" s="119"/>
      <c r="B290" s="120"/>
      <c r="C290" s="121"/>
      <c r="D290" s="121"/>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L290" s="79"/>
      <c r="AM290" s="79"/>
      <c r="AN290" s="79"/>
      <c r="AO290" s="79"/>
      <c r="AP290" s="79"/>
      <c r="AQ290" s="79"/>
      <c r="AR290" s="79"/>
      <c r="AS290" s="79"/>
      <c r="AT290" s="79"/>
      <c r="AU290" s="79"/>
      <c r="AV290" s="79"/>
      <c r="AW290" s="79"/>
    </row>
    <row r="291" spans="1:49" s="78" customFormat="1" ht="15.75">
      <c r="A291" s="119"/>
      <c r="B291" s="120"/>
      <c r="C291" s="121"/>
      <c r="D291" s="121"/>
      <c r="E291" s="121"/>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L291" s="79"/>
      <c r="AM291" s="79"/>
      <c r="AN291" s="79"/>
      <c r="AO291" s="79"/>
      <c r="AP291" s="79"/>
      <c r="AQ291" s="79"/>
      <c r="AR291" s="79"/>
      <c r="AS291" s="79"/>
      <c r="AT291" s="79"/>
      <c r="AU291" s="79"/>
      <c r="AV291" s="79"/>
      <c r="AW291" s="79"/>
    </row>
    <row r="292" spans="1:49" s="78" customFormat="1" ht="15.75">
      <c r="A292" s="119"/>
      <c r="B292" s="120"/>
      <c r="C292" s="121"/>
      <c r="D292" s="121"/>
      <c r="E292" s="121"/>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L292" s="79"/>
      <c r="AM292" s="79"/>
      <c r="AN292" s="79"/>
      <c r="AO292" s="79"/>
      <c r="AP292" s="79"/>
      <c r="AQ292" s="79"/>
      <c r="AR292" s="79"/>
      <c r="AS292" s="79"/>
      <c r="AT292" s="79"/>
      <c r="AU292" s="79"/>
      <c r="AV292" s="79"/>
      <c r="AW292" s="79"/>
    </row>
    <row r="293" spans="1:49" s="78" customFormat="1" ht="15.75">
      <c r="A293" s="119"/>
      <c r="B293" s="120"/>
      <c r="C293" s="121"/>
      <c r="D293" s="121"/>
      <c r="E293" s="121"/>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L293" s="79"/>
      <c r="AM293" s="79"/>
      <c r="AN293" s="79"/>
      <c r="AO293" s="79"/>
      <c r="AP293" s="79"/>
      <c r="AQ293" s="79"/>
      <c r="AR293" s="79"/>
      <c r="AS293" s="79"/>
      <c r="AT293" s="79"/>
      <c r="AU293" s="79"/>
      <c r="AV293" s="79"/>
      <c r="AW293" s="79"/>
    </row>
    <row r="294" spans="1:49" s="78" customFormat="1" ht="15.75">
      <c r="A294" s="119"/>
      <c r="B294" s="120"/>
      <c r="C294" s="121"/>
      <c r="D294" s="121"/>
      <c r="E294" s="121"/>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L294" s="79"/>
      <c r="AM294" s="79"/>
      <c r="AN294" s="79"/>
      <c r="AO294" s="79"/>
      <c r="AP294" s="79"/>
      <c r="AQ294" s="79"/>
      <c r="AR294" s="79"/>
      <c r="AS294" s="79"/>
      <c r="AT294" s="79"/>
      <c r="AU294" s="79"/>
      <c r="AV294" s="79"/>
      <c r="AW294" s="79"/>
    </row>
    <row r="295" spans="1:49" s="78" customFormat="1" ht="15.75">
      <c r="A295" s="119"/>
      <c r="B295" s="120"/>
      <c r="C295" s="121"/>
      <c r="D295" s="121"/>
      <c r="E295" s="121"/>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L295" s="79"/>
      <c r="AM295" s="79"/>
      <c r="AN295" s="79"/>
      <c r="AO295" s="79"/>
      <c r="AP295" s="79"/>
      <c r="AQ295" s="79"/>
      <c r="AR295" s="79"/>
      <c r="AS295" s="79"/>
      <c r="AT295" s="79"/>
      <c r="AU295" s="79"/>
      <c r="AV295" s="79"/>
      <c r="AW295" s="79"/>
    </row>
    <row r="296" spans="1:49" s="78" customFormat="1" ht="15.75">
      <c r="A296" s="119"/>
      <c r="B296" s="120"/>
      <c r="C296" s="121"/>
      <c r="D296" s="121"/>
      <c r="E296" s="121"/>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L296" s="79"/>
      <c r="AM296" s="79"/>
      <c r="AN296" s="79"/>
      <c r="AO296" s="79"/>
      <c r="AP296" s="79"/>
      <c r="AQ296" s="79"/>
      <c r="AR296" s="79"/>
      <c r="AS296" s="79"/>
      <c r="AT296" s="79"/>
      <c r="AU296" s="79"/>
      <c r="AV296" s="79"/>
      <c r="AW296" s="79"/>
    </row>
    <row r="297" spans="1:49" s="78" customFormat="1" ht="15.75">
      <c r="A297" s="119"/>
      <c r="B297" s="120"/>
      <c r="C297" s="121"/>
      <c r="D297" s="121"/>
      <c r="E297" s="121"/>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L297" s="79"/>
      <c r="AM297" s="79"/>
      <c r="AN297" s="79"/>
      <c r="AO297" s="79"/>
      <c r="AP297" s="79"/>
      <c r="AQ297" s="79"/>
      <c r="AR297" s="79"/>
      <c r="AS297" s="79"/>
      <c r="AT297" s="79"/>
      <c r="AU297" s="79"/>
      <c r="AV297" s="79"/>
      <c r="AW297" s="79"/>
    </row>
    <row r="298" spans="1:49" s="78" customFormat="1" ht="15.75">
      <c r="A298" s="119"/>
      <c r="B298" s="120"/>
      <c r="C298" s="121"/>
      <c r="D298" s="121"/>
      <c r="E298" s="121"/>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L298" s="79"/>
      <c r="AM298" s="79"/>
      <c r="AN298" s="79"/>
      <c r="AO298" s="79"/>
      <c r="AP298" s="79"/>
      <c r="AQ298" s="79"/>
      <c r="AR298" s="79"/>
      <c r="AS298" s="79"/>
      <c r="AT298" s="79"/>
      <c r="AU298" s="79"/>
      <c r="AV298" s="79"/>
      <c r="AW298" s="79"/>
    </row>
    <row r="299" spans="1:49" s="78" customFormat="1" ht="15.75">
      <c r="A299" s="119"/>
      <c r="B299" s="120"/>
      <c r="C299" s="121"/>
      <c r="D299" s="121"/>
      <c r="E299" s="121"/>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L299" s="79"/>
      <c r="AM299" s="79"/>
      <c r="AN299" s="79"/>
      <c r="AO299" s="79"/>
      <c r="AP299" s="79"/>
      <c r="AQ299" s="79"/>
      <c r="AR299" s="79"/>
      <c r="AS299" s="79"/>
      <c r="AT299" s="79"/>
      <c r="AU299" s="79"/>
      <c r="AV299" s="79"/>
      <c r="AW299" s="79"/>
    </row>
    <row r="300" spans="1:49" s="78" customFormat="1" ht="15.75">
      <c r="A300" s="119"/>
      <c r="B300" s="120"/>
      <c r="C300" s="121"/>
      <c r="D300" s="121"/>
      <c r="E300" s="121"/>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L300" s="79"/>
      <c r="AM300" s="79"/>
      <c r="AN300" s="79"/>
      <c r="AO300" s="79"/>
      <c r="AP300" s="79"/>
      <c r="AQ300" s="79"/>
      <c r="AR300" s="79"/>
      <c r="AS300" s="79"/>
      <c r="AT300" s="79"/>
      <c r="AU300" s="79"/>
      <c r="AV300" s="79"/>
      <c r="AW300" s="79"/>
    </row>
    <row r="301" spans="1:49" s="78" customFormat="1" ht="15.75">
      <c r="A301" s="119"/>
      <c r="B301" s="120"/>
      <c r="C301" s="121"/>
      <c r="D301" s="121"/>
      <c r="E301" s="121"/>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L301" s="79"/>
      <c r="AM301" s="79"/>
      <c r="AN301" s="79"/>
      <c r="AO301" s="79"/>
      <c r="AP301" s="79"/>
      <c r="AQ301" s="79"/>
      <c r="AR301" s="79"/>
      <c r="AS301" s="79"/>
      <c r="AT301" s="79"/>
      <c r="AU301" s="79"/>
      <c r="AV301" s="79"/>
      <c r="AW301" s="79"/>
    </row>
    <row r="302" spans="1:49" s="78" customFormat="1" ht="15.75">
      <c r="A302" s="119"/>
      <c r="B302" s="120"/>
      <c r="C302" s="121"/>
      <c r="D302" s="121"/>
      <c r="E302" s="121"/>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L302" s="79"/>
      <c r="AM302" s="79"/>
      <c r="AN302" s="79"/>
      <c r="AO302" s="79"/>
      <c r="AP302" s="79"/>
      <c r="AQ302" s="79"/>
      <c r="AR302" s="79"/>
      <c r="AS302" s="79"/>
      <c r="AT302" s="79"/>
      <c r="AU302" s="79"/>
      <c r="AV302" s="79"/>
      <c r="AW302" s="79"/>
    </row>
    <row r="303" spans="1:49" s="78" customFormat="1" ht="15.75">
      <c r="A303" s="119"/>
      <c r="B303" s="120"/>
      <c r="C303" s="121"/>
      <c r="D303" s="121"/>
      <c r="E303" s="121"/>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L303" s="79"/>
      <c r="AM303" s="79"/>
      <c r="AN303" s="79"/>
      <c r="AO303" s="79"/>
      <c r="AP303" s="79"/>
      <c r="AQ303" s="79"/>
      <c r="AR303" s="79"/>
      <c r="AS303" s="79"/>
      <c r="AT303" s="79"/>
      <c r="AU303" s="79"/>
      <c r="AV303" s="79"/>
      <c r="AW303" s="79"/>
    </row>
    <row r="304" spans="1:49" s="78" customFormat="1" ht="15.75">
      <c r="A304" s="119"/>
      <c r="B304" s="120"/>
      <c r="C304" s="121"/>
      <c r="D304" s="121"/>
      <c r="E304" s="121"/>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L304" s="79"/>
      <c r="AM304" s="79"/>
      <c r="AN304" s="79"/>
      <c r="AO304" s="79"/>
      <c r="AP304" s="79"/>
      <c r="AQ304" s="79"/>
      <c r="AR304" s="79"/>
      <c r="AS304" s="79"/>
      <c r="AT304" s="79"/>
      <c r="AU304" s="79"/>
      <c r="AV304" s="79"/>
      <c r="AW304" s="79"/>
    </row>
    <row r="305" spans="1:49" s="78" customFormat="1" ht="15.75">
      <c r="A305" s="119"/>
      <c r="B305" s="120"/>
      <c r="C305" s="121"/>
      <c r="D305" s="121"/>
      <c r="E305" s="121"/>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L305" s="79"/>
      <c r="AM305" s="79"/>
      <c r="AN305" s="79"/>
      <c r="AO305" s="79"/>
      <c r="AP305" s="79"/>
      <c r="AQ305" s="79"/>
      <c r="AR305" s="79"/>
      <c r="AS305" s="79"/>
      <c r="AT305" s="79"/>
      <c r="AU305" s="79"/>
      <c r="AV305" s="79"/>
      <c r="AW305" s="79"/>
    </row>
    <row r="306" spans="1:49" s="78" customFormat="1" ht="15.75">
      <c r="A306" s="119"/>
      <c r="B306" s="120"/>
      <c r="C306" s="121"/>
      <c r="D306" s="121"/>
      <c r="E306" s="121"/>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L306" s="79"/>
      <c r="AM306" s="79"/>
      <c r="AN306" s="79"/>
      <c r="AO306" s="79"/>
      <c r="AP306" s="79"/>
      <c r="AQ306" s="79"/>
      <c r="AR306" s="79"/>
      <c r="AS306" s="79"/>
      <c r="AT306" s="79"/>
      <c r="AU306" s="79"/>
      <c r="AV306" s="79"/>
      <c r="AW306" s="79"/>
    </row>
    <row r="307" spans="1:49" s="78" customFormat="1" ht="15.75">
      <c r="A307" s="119"/>
      <c r="B307" s="120"/>
      <c r="C307" s="121"/>
      <c r="D307" s="121"/>
      <c r="E307" s="121"/>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L307" s="79"/>
      <c r="AM307" s="79"/>
      <c r="AN307" s="79"/>
      <c r="AO307" s="79"/>
      <c r="AP307" s="79"/>
      <c r="AQ307" s="79"/>
      <c r="AR307" s="79"/>
      <c r="AS307" s="79"/>
      <c r="AT307" s="79"/>
      <c r="AU307" s="79"/>
      <c r="AV307" s="79"/>
      <c r="AW307" s="79"/>
    </row>
    <row r="308" spans="1:49" s="78" customFormat="1" ht="15.75">
      <c r="A308" s="119"/>
      <c r="B308" s="120"/>
      <c r="C308" s="121"/>
      <c r="D308" s="12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L308" s="79"/>
      <c r="AM308" s="79"/>
      <c r="AN308" s="79"/>
      <c r="AO308" s="79"/>
      <c r="AP308" s="79"/>
      <c r="AQ308" s="79"/>
      <c r="AR308" s="79"/>
      <c r="AS308" s="79"/>
      <c r="AT308" s="79"/>
      <c r="AU308" s="79"/>
      <c r="AV308" s="79"/>
      <c r="AW308" s="79"/>
    </row>
    <row r="309" spans="1:49" s="78" customFormat="1" ht="15.75">
      <c r="A309" s="119"/>
      <c r="B309" s="120"/>
      <c r="C309" s="121"/>
      <c r="D309" s="121"/>
      <c r="E309" s="121"/>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L309" s="79"/>
      <c r="AM309" s="79"/>
      <c r="AN309" s="79"/>
      <c r="AO309" s="79"/>
      <c r="AP309" s="79"/>
      <c r="AQ309" s="79"/>
      <c r="AR309" s="79"/>
      <c r="AS309" s="79"/>
      <c r="AT309" s="79"/>
      <c r="AU309" s="79"/>
      <c r="AV309" s="79"/>
      <c r="AW309" s="79"/>
    </row>
    <row r="310" spans="1:49" s="78" customFormat="1" ht="15.75">
      <c r="A310" s="119"/>
      <c r="B310" s="120"/>
      <c r="C310" s="121"/>
      <c r="D310" s="121"/>
      <c r="E310" s="121"/>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L310" s="79"/>
      <c r="AM310" s="79"/>
      <c r="AN310" s="79"/>
      <c r="AO310" s="79"/>
      <c r="AP310" s="79"/>
      <c r="AQ310" s="79"/>
      <c r="AR310" s="79"/>
      <c r="AS310" s="79"/>
      <c r="AT310" s="79"/>
      <c r="AU310" s="79"/>
      <c r="AV310" s="79"/>
      <c r="AW310" s="79"/>
    </row>
    <row r="311" spans="1:49" s="78" customFormat="1" ht="15.75">
      <c r="A311" s="119"/>
      <c r="B311" s="120"/>
      <c r="C311" s="121"/>
      <c r="D311" s="121"/>
      <c r="E311" s="121"/>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L311" s="79"/>
      <c r="AM311" s="79"/>
      <c r="AN311" s="79"/>
      <c r="AO311" s="79"/>
      <c r="AP311" s="79"/>
      <c r="AQ311" s="79"/>
      <c r="AR311" s="79"/>
      <c r="AS311" s="79"/>
      <c r="AT311" s="79"/>
      <c r="AU311" s="79"/>
      <c r="AV311" s="79"/>
      <c r="AW311" s="79"/>
    </row>
    <row r="312" spans="1:49" s="78" customFormat="1" ht="15.75">
      <c r="A312" s="119"/>
      <c r="B312" s="120"/>
      <c r="C312" s="121"/>
      <c r="D312" s="121"/>
      <c r="E312" s="121"/>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L312" s="79"/>
      <c r="AM312" s="79"/>
      <c r="AN312" s="79"/>
      <c r="AO312" s="79"/>
      <c r="AP312" s="79"/>
      <c r="AQ312" s="79"/>
      <c r="AR312" s="79"/>
      <c r="AS312" s="79"/>
      <c r="AT312" s="79"/>
      <c r="AU312" s="79"/>
      <c r="AV312" s="79"/>
      <c r="AW312" s="79"/>
    </row>
    <row r="313" spans="1:49" s="78" customFormat="1" ht="15.75">
      <c r="A313" s="119"/>
      <c r="B313" s="120"/>
      <c r="C313" s="121"/>
      <c r="D313" s="121"/>
      <c r="E313" s="121"/>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L313" s="79"/>
      <c r="AM313" s="79"/>
      <c r="AN313" s="79"/>
      <c r="AO313" s="79"/>
      <c r="AP313" s="79"/>
      <c r="AQ313" s="79"/>
      <c r="AR313" s="79"/>
      <c r="AS313" s="79"/>
      <c r="AT313" s="79"/>
      <c r="AU313" s="79"/>
      <c r="AV313" s="79"/>
      <c r="AW313" s="79"/>
    </row>
    <row r="314" spans="1:49" s="78" customFormat="1" ht="15.75">
      <c r="A314" s="119"/>
      <c r="B314" s="120"/>
      <c r="C314" s="121"/>
      <c r="D314" s="121"/>
      <c r="E314" s="121"/>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L314" s="79"/>
      <c r="AM314" s="79"/>
      <c r="AN314" s="79"/>
      <c r="AO314" s="79"/>
      <c r="AP314" s="79"/>
      <c r="AQ314" s="79"/>
      <c r="AR314" s="79"/>
      <c r="AS314" s="79"/>
      <c r="AT314" s="79"/>
      <c r="AU314" s="79"/>
      <c r="AV314" s="79"/>
      <c r="AW314" s="79"/>
    </row>
    <row r="315" spans="1:49" s="78" customFormat="1" ht="15.75">
      <c r="A315" s="119"/>
      <c r="B315" s="120"/>
      <c r="C315" s="121"/>
      <c r="D315" s="121"/>
      <c r="E315" s="121"/>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L315" s="79"/>
      <c r="AM315" s="79"/>
      <c r="AN315" s="79"/>
      <c r="AO315" s="79"/>
      <c r="AP315" s="79"/>
      <c r="AQ315" s="79"/>
      <c r="AR315" s="79"/>
      <c r="AS315" s="79"/>
      <c r="AT315" s="79"/>
      <c r="AU315" s="79"/>
      <c r="AV315" s="79"/>
      <c r="AW315" s="79"/>
    </row>
    <row r="316" spans="1:49" s="78" customFormat="1" ht="15.75">
      <c r="A316" s="119"/>
      <c r="B316" s="120"/>
      <c r="C316" s="121"/>
      <c r="D316" s="121"/>
      <c r="E316" s="121"/>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L316" s="79"/>
      <c r="AM316" s="79"/>
      <c r="AN316" s="79"/>
      <c r="AO316" s="79"/>
      <c r="AP316" s="79"/>
      <c r="AQ316" s="79"/>
      <c r="AR316" s="79"/>
      <c r="AS316" s="79"/>
      <c r="AT316" s="79"/>
      <c r="AU316" s="79"/>
      <c r="AV316" s="79"/>
      <c r="AW316" s="79"/>
    </row>
    <row r="317" spans="1:49" s="78" customFormat="1" ht="15.75">
      <c r="A317" s="119"/>
      <c r="B317" s="120"/>
      <c r="C317" s="121"/>
      <c r="D317" s="121"/>
      <c r="E317" s="121"/>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L317" s="79"/>
      <c r="AM317" s="79"/>
      <c r="AN317" s="79"/>
      <c r="AO317" s="79"/>
      <c r="AP317" s="79"/>
      <c r="AQ317" s="79"/>
      <c r="AR317" s="79"/>
      <c r="AS317" s="79"/>
      <c r="AT317" s="79"/>
      <c r="AU317" s="79"/>
      <c r="AV317" s="79"/>
      <c r="AW317" s="79"/>
    </row>
    <row r="318" spans="1:49" s="78" customFormat="1" ht="15.75">
      <c r="A318" s="119"/>
      <c r="B318" s="120"/>
      <c r="C318" s="121"/>
      <c r="D318" s="121"/>
      <c r="E318" s="121"/>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L318" s="79"/>
      <c r="AM318" s="79"/>
      <c r="AN318" s="79"/>
      <c r="AO318" s="79"/>
      <c r="AP318" s="79"/>
      <c r="AQ318" s="79"/>
      <c r="AR318" s="79"/>
      <c r="AS318" s="79"/>
      <c r="AT318" s="79"/>
      <c r="AU318" s="79"/>
      <c r="AV318" s="79"/>
      <c r="AW318" s="79"/>
    </row>
    <row r="319" spans="1:49" s="78" customFormat="1" ht="15.75">
      <c r="A319" s="119"/>
      <c r="B319" s="120"/>
      <c r="C319" s="121"/>
      <c r="D319" s="121"/>
      <c r="E319" s="121"/>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L319" s="79"/>
      <c r="AM319" s="79"/>
      <c r="AN319" s="79"/>
      <c r="AO319" s="79"/>
      <c r="AP319" s="79"/>
      <c r="AQ319" s="79"/>
      <c r="AR319" s="79"/>
      <c r="AS319" s="79"/>
      <c r="AT319" s="79"/>
      <c r="AU319" s="79"/>
      <c r="AV319" s="79"/>
      <c r="AW319" s="79"/>
    </row>
    <row r="320" spans="1:49" s="78" customFormat="1" ht="15.75">
      <c r="A320" s="119"/>
      <c r="B320" s="120"/>
      <c r="C320" s="121"/>
      <c r="D320" s="121"/>
      <c r="E320" s="121"/>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L320" s="79"/>
      <c r="AM320" s="79"/>
      <c r="AN320" s="79"/>
      <c r="AO320" s="79"/>
      <c r="AP320" s="79"/>
      <c r="AQ320" s="79"/>
      <c r="AR320" s="79"/>
      <c r="AS320" s="79"/>
      <c r="AT320" s="79"/>
      <c r="AU320" s="79"/>
      <c r="AV320" s="79"/>
      <c r="AW320" s="79"/>
    </row>
    <row r="321" spans="1:49" s="78" customFormat="1" ht="15.75">
      <c r="A321" s="119"/>
      <c r="B321" s="120"/>
      <c r="C321" s="121"/>
      <c r="D321" s="121"/>
      <c r="E321" s="121"/>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L321" s="79"/>
      <c r="AM321" s="79"/>
      <c r="AN321" s="79"/>
      <c r="AO321" s="79"/>
      <c r="AP321" s="79"/>
      <c r="AQ321" s="79"/>
      <c r="AR321" s="79"/>
      <c r="AS321" s="79"/>
      <c r="AT321" s="79"/>
      <c r="AU321" s="79"/>
      <c r="AV321" s="79"/>
      <c r="AW321" s="79"/>
    </row>
    <row r="322" spans="1:49" s="78" customFormat="1" ht="15.75">
      <c r="A322" s="119"/>
      <c r="B322" s="120"/>
      <c r="C322" s="121"/>
      <c r="D322" s="121"/>
      <c r="E322" s="121"/>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L322" s="79"/>
      <c r="AM322" s="79"/>
      <c r="AN322" s="79"/>
      <c r="AO322" s="79"/>
      <c r="AP322" s="79"/>
      <c r="AQ322" s="79"/>
      <c r="AR322" s="79"/>
      <c r="AS322" s="79"/>
      <c r="AT322" s="79"/>
      <c r="AU322" s="79"/>
      <c r="AV322" s="79"/>
      <c r="AW322" s="79"/>
    </row>
    <row r="323" spans="1:49" s="78" customFormat="1" ht="15.75">
      <c r="A323" s="119"/>
      <c r="B323" s="120"/>
      <c r="C323" s="121"/>
      <c r="D323" s="121"/>
      <c r="E323" s="121"/>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L323" s="79"/>
      <c r="AM323" s="79"/>
      <c r="AN323" s="79"/>
      <c r="AO323" s="79"/>
      <c r="AP323" s="79"/>
      <c r="AQ323" s="79"/>
      <c r="AR323" s="79"/>
      <c r="AS323" s="79"/>
      <c r="AT323" s="79"/>
      <c r="AU323" s="79"/>
      <c r="AV323" s="79"/>
      <c r="AW323" s="79"/>
    </row>
    <row r="324" spans="1:49" s="78" customFormat="1" ht="15.75">
      <c r="A324" s="119"/>
      <c r="B324" s="120"/>
      <c r="C324" s="121"/>
      <c r="D324" s="121"/>
      <c r="E324" s="121"/>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L324" s="79"/>
      <c r="AM324" s="79"/>
      <c r="AN324" s="79"/>
      <c r="AO324" s="79"/>
      <c r="AP324" s="79"/>
      <c r="AQ324" s="79"/>
      <c r="AR324" s="79"/>
      <c r="AS324" s="79"/>
      <c r="AT324" s="79"/>
      <c r="AU324" s="79"/>
      <c r="AV324" s="79"/>
      <c r="AW324" s="79"/>
    </row>
    <row r="325" spans="1:49" s="78" customFormat="1" ht="15.75">
      <c r="A325" s="119"/>
      <c r="B325" s="120"/>
      <c r="C325" s="121"/>
      <c r="D325" s="121"/>
      <c r="E325" s="121"/>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L325" s="79"/>
      <c r="AM325" s="79"/>
      <c r="AN325" s="79"/>
      <c r="AO325" s="79"/>
      <c r="AP325" s="79"/>
      <c r="AQ325" s="79"/>
      <c r="AR325" s="79"/>
      <c r="AS325" s="79"/>
      <c r="AT325" s="79"/>
      <c r="AU325" s="79"/>
      <c r="AV325" s="79"/>
      <c r="AW325" s="79"/>
    </row>
    <row r="326" spans="1:49" s="78" customFormat="1" ht="15.75">
      <c r="A326" s="119"/>
      <c r="B326" s="120"/>
      <c r="C326" s="121"/>
      <c r="D326" s="121"/>
      <c r="E326" s="121"/>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L326" s="79"/>
      <c r="AM326" s="79"/>
      <c r="AN326" s="79"/>
      <c r="AO326" s="79"/>
      <c r="AP326" s="79"/>
      <c r="AQ326" s="79"/>
      <c r="AR326" s="79"/>
      <c r="AS326" s="79"/>
      <c r="AT326" s="79"/>
      <c r="AU326" s="79"/>
      <c r="AV326" s="79"/>
      <c r="AW326" s="79"/>
    </row>
    <row r="327" spans="1:49" s="78" customFormat="1" ht="15.75">
      <c r="A327" s="119"/>
      <c r="B327" s="120"/>
      <c r="C327" s="121"/>
      <c r="D327" s="121"/>
      <c r="E327" s="121"/>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L327" s="79"/>
      <c r="AM327" s="79"/>
      <c r="AN327" s="79"/>
      <c r="AO327" s="79"/>
      <c r="AP327" s="79"/>
      <c r="AQ327" s="79"/>
      <c r="AR327" s="79"/>
      <c r="AS327" s="79"/>
      <c r="AT327" s="79"/>
      <c r="AU327" s="79"/>
      <c r="AV327" s="79"/>
      <c r="AW327" s="79"/>
    </row>
    <row r="328" spans="1:49" s="78" customFormat="1" ht="15.75">
      <c r="A328" s="119"/>
      <c r="B328" s="120"/>
      <c r="C328" s="121"/>
      <c r="D328" s="121"/>
      <c r="E328" s="121"/>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L328" s="79"/>
      <c r="AM328" s="79"/>
      <c r="AN328" s="79"/>
      <c r="AO328" s="79"/>
      <c r="AP328" s="79"/>
      <c r="AQ328" s="79"/>
      <c r="AR328" s="79"/>
      <c r="AS328" s="79"/>
      <c r="AT328" s="79"/>
      <c r="AU328" s="79"/>
      <c r="AV328" s="79"/>
      <c r="AW328" s="79"/>
    </row>
    <row r="329" spans="1:49" s="78" customFormat="1" ht="15.75">
      <c r="A329" s="119"/>
      <c r="B329" s="120"/>
      <c r="C329" s="121"/>
      <c r="D329" s="121"/>
      <c r="E329" s="121"/>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L329" s="79"/>
      <c r="AM329" s="79"/>
      <c r="AN329" s="79"/>
      <c r="AO329" s="79"/>
      <c r="AP329" s="79"/>
      <c r="AQ329" s="79"/>
      <c r="AR329" s="79"/>
      <c r="AS329" s="79"/>
      <c r="AT329" s="79"/>
      <c r="AU329" s="79"/>
      <c r="AV329" s="79"/>
      <c r="AW329" s="79"/>
    </row>
    <row r="330" spans="1:49" s="78" customFormat="1" ht="15.75">
      <c r="A330" s="119"/>
      <c r="B330" s="120"/>
      <c r="C330" s="121"/>
      <c r="D330" s="121"/>
      <c r="E330" s="121"/>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L330" s="79"/>
      <c r="AM330" s="79"/>
      <c r="AN330" s="79"/>
      <c r="AO330" s="79"/>
      <c r="AP330" s="79"/>
      <c r="AQ330" s="79"/>
      <c r="AR330" s="79"/>
      <c r="AS330" s="79"/>
      <c r="AT330" s="79"/>
      <c r="AU330" s="79"/>
      <c r="AV330" s="79"/>
      <c r="AW330" s="79"/>
    </row>
    <row r="331" spans="1:49" s="78" customFormat="1" ht="15.75">
      <c r="A331" s="119"/>
      <c r="B331" s="120"/>
      <c r="C331" s="121"/>
      <c r="D331" s="121"/>
      <c r="E331" s="121"/>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L331" s="79"/>
      <c r="AM331" s="79"/>
      <c r="AN331" s="79"/>
      <c r="AO331" s="79"/>
      <c r="AP331" s="79"/>
      <c r="AQ331" s="79"/>
      <c r="AR331" s="79"/>
      <c r="AS331" s="79"/>
      <c r="AT331" s="79"/>
      <c r="AU331" s="79"/>
      <c r="AV331" s="79"/>
      <c r="AW331" s="79"/>
    </row>
    <row r="332" spans="1:49" s="78" customFormat="1" ht="15.75">
      <c r="A332" s="119"/>
      <c r="B332" s="120"/>
      <c r="C332" s="121"/>
      <c r="D332" s="121"/>
      <c r="E332" s="121"/>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L332" s="79"/>
      <c r="AM332" s="79"/>
      <c r="AN332" s="79"/>
      <c r="AO332" s="79"/>
      <c r="AP332" s="79"/>
      <c r="AQ332" s="79"/>
      <c r="AR332" s="79"/>
      <c r="AS332" s="79"/>
      <c r="AT332" s="79"/>
      <c r="AU332" s="79"/>
      <c r="AV332" s="79"/>
      <c r="AW332" s="79"/>
    </row>
    <row r="333" spans="1:49" s="78" customFormat="1" ht="15.75">
      <c r="A333" s="119"/>
      <c r="B333" s="120"/>
      <c r="C333" s="121"/>
      <c r="D333" s="121"/>
      <c r="E333" s="121"/>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L333" s="79"/>
      <c r="AM333" s="79"/>
      <c r="AN333" s="79"/>
      <c r="AO333" s="79"/>
      <c r="AP333" s="79"/>
      <c r="AQ333" s="79"/>
      <c r="AR333" s="79"/>
      <c r="AS333" s="79"/>
      <c r="AT333" s="79"/>
      <c r="AU333" s="79"/>
      <c r="AV333" s="79"/>
      <c r="AW333" s="79"/>
    </row>
    <row r="334" spans="1:49" s="78" customFormat="1" ht="15.75">
      <c r="A334" s="119"/>
      <c r="B334" s="120"/>
      <c r="C334" s="121"/>
      <c r="D334" s="121"/>
      <c r="E334" s="121"/>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L334" s="79"/>
      <c r="AM334" s="79"/>
      <c r="AN334" s="79"/>
      <c r="AO334" s="79"/>
      <c r="AP334" s="79"/>
      <c r="AQ334" s="79"/>
      <c r="AR334" s="79"/>
      <c r="AS334" s="79"/>
      <c r="AT334" s="79"/>
      <c r="AU334" s="79"/>
      <c r="AV334" s="79"/>
      <c r="AW334" s="79"/>
    </row>
    <row r="335" spans="1:49" s="78" customFormat="1" ht="15.75">
      <c r="A335" s="119"/>
      <c r="B335" s="120"/>
      <c r="C335" s="121"/>
      <c r="D335" s="121"/>
      <c r="E335" s="121"/>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L335" s="79"/>
      <c r="AM335" s="79"/>
      <c r="AN335" s="79"/>
      <c r="AO335" s="79"/>
      <c r="AP335" s="79"/>
      <c r="AQ335" s="79"/>
      <c r="AR335" s="79"/>
      <c r="AS335" s="79"/>
      <c r="AT335" s="79"/>
      <c r="AU335" s="79"/>
      <c r="AV335" s="79"/>
      <c r="AW335" s="79"/>
    </row>
    <row r="336" spans="1:49" s="78" customFormat="1" ht="15.75">
      <c r="A336" s="119"/>
      <c r="B336" s="120"/>
      <c r="C336" s="121"/>
      <c r="D336" s="121"/>
      <c r="E336" s="121"/>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L336" s="79"/>
      <c r="AM336" s="79"/>
      <c r="AN336" s="79"/>
      <c r="AO336" s="79"/>
      <c r="AP336" s="79"/>
      <c r="AQ336" s="79"/>
      <c r="AR336" s="79"/>
      <c r="AS336" s="79"/>
      <c r="AT336" s="79"/>
      <c r="AU336" s="79"/>
      <c r="AV336" s="79"/>
      <c r="AW336" s="79"/>
    </row>
    <row r="337" spans="1:49" s="78" customFormat="1" ht="15.75">
      <c r="A337" s="119"/>
      <c r="B337" s="120"/>
      <c r="C337" s="121"/>
      <c r="D337" s="121"/>
      <c r="E337" s="121"/>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L337" s="79"/>
      <c r="AM337" s="79"/>
      <c r="AN337" s="79"/>
      <c r="AO337" s="79"/>
      <c r="AP337" s="79"/>
      <c r="AQ337" s="79"/>
      <c r="AR337" s="79"/>
      <c r="AS337" s="79"/>
      <c r="AT337" s="79"/>
      <c r="AU337" s="79"/>
      <c r="AV337" s="79"/>
      <c r="AW337" s="79"/>
    </row>
    <row r="338" spans="1:49" s="78" customFormat="1" ht="15.75">
      <c r="A338" s="119"/>
      <c r="B338" s="120"/>
      <c r="C338" s="121"/>
      <c r="D338" s="121"/>
      <c r="E338" s="121"/>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L338" s="79"/>
      <c r="AM338" s="79"/>
      <c r="AN338" s="79"/>
      <c r="AO338" s="79"/>
      <c r="AP338" s="79"/>
      <c r="AQ338" s="79"/>
      <c r="AR338" s="79"/>
      <c r="AS338" s="79"/>
      <c r="AT338" s="79"/>
      <c r="AU338" s="79"/>
      <c r="AV338" s="79"/>
      <c r="AW338" s="79"/>
    </row>
    <row r="339" spans="1:49" s="78" customFormat="1" ht="15.75">
      <c r="A339" s="119"/>
      <c r="B339" s="120"/>
      <c r="C339" s="121"/>
      <c r="D339" s="121"/>
      <c r="E339" s="121"/>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L339" s="79"/>
      <c r="AM339" s="79"/>
      <c r="AN339" s="79"/>
      <c r="AO339" s="79"/>
      <c r="AP339" s="79"/>
      <c r="AQ339" s="79"/>
      <c r="AR339" s="79"/>
      <c r="AS339" s="79"/>
      <c r="AT339" s="79"/>
      <c r="AU339" s="79"/>
      <c r="AV339" s="79"/>
      <c r="AW339" s="79"/>
    </row>
    <row r="340" spans="1:49" s="78" customFormat="1" ht="15.75">
      <c r="A340" s="119"/>
      <c r="B340" s="120"/>
      <c r="C340" s="121"/>
      <c r="D340" s="121"/>
      <c r="E340" s="121"/>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L340" s="79"/>
      <c r="AM340" s="79"/>
      <c r="AN340" s="79"/>
      <c r="AO340" s="79"/>
      <c r="AP340" s="79"/>
      <c r="AQ340" s="79"/>
      <c r="AR340" s="79"/>
      <c r="AS340" s="79"/>
      <c r="AT340" s="79"/>
      <c r="AU340" s="79"/>
      <c r="AV340" s="79"/>
      <c r="AW340" s="79"/>
    </row>
    <row r="341" spans="1:49" s="78" customFormat="1" ht="15.75">
      <c r="A341" s="119"/>
      <c r="B341" s="120"/>
      <c r="C341" s="121"/>
      <c r="D341" s="121"/>
      <c r="E341" s="121"/>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L341" s="79"/>
      <c r="AM341" s="79"/>
      <c r="AN341" s="79"/>
      <c r="AO341" s="79"/>
      <c r="AP341" s="79"/>
      <c r="AQ341" s="79"/>
      <c r="AR341" s="79"/>
      <c r="AS341" s="79"/>
      <c r="AT341" s="79"/>
      <c r="AU341" s="79"/>
      <c r="AV341" s="79"/>
      <c r="AW341" s="79"/>
    </row>
    <row r="342" spans="1:49" s="78" customFormat="1" ht="15.75">
      <c r="A342" s="119"/>
      <c r="B342" s="120"/>
      <c r="C342" s="121"/>
      <c r="D342" s="121"/>
      <c r="E342" s="121"/>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L342" s="79"/>
      <c r="AM342" s="79"/>
      <c r="AN342" s="79"/>
      <c r="AO342" s="79"/>
      <c r="AP342" s="79"/>
      <c r="AQ342" s="79"/>
      <c r="AR342" s="79"/>
      <c r="AS342" s="79"/>
      <c r="AT342" s="79"/>
      <c r="AU342" s="79"/>
      <c r="AV342" s="79"/>
      <c r="AW342" s="79"/>
    </row>
    <row r="343" spans="1:49" s="78" customFormat="1" ht="15.75">
      <c r="A343" s="119"/>
      <c r="B343" s="120"/>
      <c r="C343" s="121"/>
      <c r="D343" s="121"/>
      <c r="E343" s="121"/>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L343" s="79"/>
      <c r="AM343" s="79"/>
      <c r="AN343" s="79"/>
      <c r="AO343" s="79"/>
      <c r="AP343" s="79"/>
      <c r="AQ343" s="79"/>
      <c r="AR343" s="79"/>
      <c r="AS343" s="79"/>
      <c r="AT343" s="79"/>
      <c r="AU343" s="79"/>
      <c r="AV343" s="79"/>
      <c r="AW343" s="79"/>
    </row>
    <row r="344" spans="1:49" s="78" customFormat="1" ht="15.75">
      <c r="A344" s="119"/>
      <c r="B344" s="120"/>
      <c r="C344" s="121"/>
      <c r="D344" s="121"/>
      <c r="E344" s="121"/>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L344" s="79"/>
      <c r="AM344" s="79"/>
      <c r="AN344" s="79"/>
      <c r="AO344" s="79"/>
      <c r="AP344" s="79"/>
      <c r="AQ344" s="79"/>
      <c r="AR344" s="79"/>
      <c r="AS344" s="79"/>
      <c r="AT344" s="79"/>
      <c r="AU344" s="79"/>
      <c r="AV344" s="79"/>
      <c r="AW344" s="79"/>
    </row>
    <row r="345" spans="1:49" s="78" customFormat="1" ht="15.75">
      <c r="A345" s="119"/>
      <c r="B345" s="120"/>
      <c r="C345" s="121"/>
      <c r="D345" s="121"/>
      <c r="E345" s="121"/>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L345" s="79"/>
      <c r="AM345" s="79"/>
      <c r="AN345" s="79"/>
      <c r="AO345" s="79"/>
      <c r="AP345" s="79"/>
      <c r="AQ345" s="79"/>
      <c r="AR345" s="79"/>
      <c r="AS345" s="79"/>
      <c r="AT345" s="79"/>
      <c r="AU345" s="79"/>
      <c r="AV345" s="79"/>
      <c r="AW345" s="79"/>
    </row>
    <row r="346" spans="1:49" s="78" customFormat="1" ht="15.75">
      <c r="A346" s="119"/>
      <c r="B346" s="120"/>
      <c r="C346" s="121"/>
      <c r="D346" s="121"/>
      <c r="E346" s="121"/>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L346" s="79"/>
      <c r="AM346" s="79"/>
      <c r="AN346" s="79"/>
      <c r="AO346" s="79"/>
      <c r="AP346" s="79"/>
      <c r="AQ346" s="79"/>
      <c r="AR346" s="79"/>
      <c r="AS346" s="79"/>
      <c r="AT346" s="79"/>
      <c r="AU346" s="79"/>
      <c r="AV346" s="79"/>
      <c r="AW346" s="79"/>
    </row>
    <row r="347" spans="1:49" s="78" customFormat="1" ht="15.75">
      <c r="A347" s="119"/>
      <c r="B347" s="120"/>
      <c r="C347" s="121"/>
      <c r="D347" s="121"/>
      <c r="E347" s="121"/>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L347" s="79"/>
      <c r="AM347" s="79"/>
      <c r="AN347" s="79"/>
      <c r="AO347" s="79"/>
      <c r="AP347" s="79"/>
      <c r="AQ347" s="79"/>
      <c r="AR347" s="79"/>
      <c r="AS347" s="79"/>
      <c r="AT347" s="79"/>
      <c r="AU347" s="79"/>
      <c r="AV347" s="79"/>
      <c r="AW347" s="79"/>
    </row>
    <row r="348" spans="1:49" s="78" customFormat="1" ht="15.75">
      <c r="A348" s="119"/>
      <c r="B348" s="120"/>
      <c r="C348" s="121"/>
      <c r="D348" s="121"/>
      <c r="E348" s="121"/>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L348" s="79"/>
      <c r="AM348" s="79"/>
      <c r="AN348" s="79"/>
      <c r="AO348" s="79"/>
      <c r="AP348" s="79"/>
      <c r="AQ348" s="79"/>
      <c r="AR348" s="79"/>
      <c r="AS348" s="79"/>
      <c r="AT348" s="79"/>
      <c r="AU348" s="79"/>
      <c r="AV348" s="79"/>
      <c r="AW348" s="79"/>
    </row>
    <row r="349" spans="1:49" s="78" customFormat="1" ht="15.75">
      <c r="A349" s="119"/>
      <c r="B349" s="120"/>
      <c r="C349" s="121"/>
      <c r="D349" s="121"/>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L349" s="79"/>
      <c r="AM349" s="79"/>
      <c r="AN349" s="79"/>
      <c r="AO349" s="79"/>
      <c r="AP349" s="79"/>
      <c r="AQ349" s="79"/>
      <c r="AR349" s="79"/>
      <c r="AS349" s="79"/>
      <c r="AT349" s="79"/>
      <c r="AU349" s="79"/>
      <c r="AV349" s="79"/>
      <c r="AW349" s="79"/>
    </row>
    <row r="350" spans="1:49" s="78" customFormat="1" ht="15.75">
      <c r="A350" s="119"/>
      <c r="B350" s="120"/>
      <c r="C350" s="121"/>
      <c r="D350" s="121"/>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L350" s="79"/>
      <c r="AM350" s="79"/>
      <c r="AN350" s="79"/>
      <c r="AO350" s="79"/>
      <c r="AP350" s="79"/>
      <c r="AQ350" s="79"/>
      <c r="AR350" s="79"/>
      <c r="AS350" s="79"/>
      <c r="AT350" s="79"/>
      <c r="AU350" s="79"/>
      <c r="AV350" s="79"/>
      <c r="AW350" s="79"/>
    </row>
    <row r="351" spans="1:49" s="78" customFormat="1" ht="15.75">
      <c r="A351" s="119"/>
      <c r="B351" s="120"/>
      <c r="C351" s="121"/>
      <c r="D351" s="121"/>
      <c r="E351" s="121"/>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L351" s="79"/>
      <c r="AM351" s="79"/>
      <c r="AN351" s="79"/>
      <c r="AO351" s="79"/>
      <c r="AP351" s="79"/>
      <c r="AQ351" s="79"/>
      <c r="AR351" s="79"/>
      <c r="AS351" s="79"/>
      <c r="AT351" s="79"/>
      <c r="AU351" s="79"/>
      <c r="AV351" s="79"/>
      <c r="AW351" s="79"/>
    </row>
    <row r="352" spans="1:49" s="78" customFormat="1" ht="15.75">
      <c r="A352" s="119"/>
      <c r="B352" s="120"/>
      <c r="C352" s="121"/>
      <c r="D352" s="121"/>
      <c r="E352" s="121"/>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L352" s="79"/>
      <c r="AM352" s="79"/>
      <c r="AN352" s="79"/>
      <c r="AO352" s="79"/>
      <c r="AP352" s="79"/>
      <c r="AQ352" s="79"/>
      <c r="AR352" s="79"/>
      <c r="AS352" s="79"/>
      <c r="AT352" s="79"/>
      <c r="AU352" s="79"/>
      <c r="AV352" s="79"/>
      <c r="AW352" s="79"/>
    </row>
    <row r="353" spans="1:49" s="78" customFormat="1" ht="15.75">
      <c r="A353" s="119"/>
      <c r="B353" s="120"/>
      <c r="C353" s="121"/>
      <c r="D353" s="121"/>
      <c r="E353" s="121"/>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L353" s="79"/>
      <c r="AM353" s="79"/>
      <c r="AN353" s="79"/>
      <c r="AO353" s="79"/>
      <c r="AP353" s="79"/>
      <c r="AQ353" s="79"/>
      <c r="AR353" s="79"/>
      <c r="AS353" s="79"/>
      <c r="AT353" s="79"/>
      <c r="AU353" s="79"/>
      <c r="AV353" s="79"/>
      <c r="AW353" s="79"/>
    </row>
    <row r="354" spans="1:49" s="78" customFormat="1" ht="15.75">
      <c r="A354" s="119"/>
      <c r="B354" s="120"/>
      <c r="C354" s="121"/>
      <c r="D354" s="121"/>
      <c r="E354" s="121"/>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L354" s="79"/>
      <c r="AM354" s="79"/>
      <c r="AN354" s="79"/>
      <c r="AO354" s="79"/>
      <c r="AP354" s="79"/>
      <c r="AQ354" s="79"/>
      <c r="AR354" s="79"/>
      <c r="AS354" s="79"/>
      <c r="AT354" s="79"/>
      <c r="AU354" s="79"/>
      <c r="AV354" s="79"/>
      <c r="AW354" s="79"/>
    </row>
    <row r="355" spans="1:49" s="78" customFormat="1" ht="15.75">
      <c r="A355" s="119"/>
      <c r="B355" s="120"/>
      <c r="C355" s="121"/>
      <c r="D355" s="121"/>
      <c r="E355" s="121"/>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L355" s="79"/>
      <c r="AM355" s="79"/>
      <c r="AN355" s="79"/>
      <c r="AO355" s="79"/>
      <c r="AP355" s="79"/>
      <c r="AQ355" s="79"/>
      <c r="AR355" s="79"/>
      <c r="AS355" s="79"/>
      <c r="AT355" s="79"/>
      <c r="AU355" s="79"/>
      <c r="AV355" s="79"/>
      <c r="AW355" s="79"/>
    </row>
    <row r="356" spans="1:49" s="78" customFormat="1" ht="15.75">
      <c r="A356" s="119"/>
      <c r="B356" s="120"/>
      <c r="C356" s="121"/>
      <c r="D356" s="121"/>
      <c r="E356" s="121"/>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L356" s="79"/>
      <c r="AM356" s="79"/>
      <c r="AN356" s="79"/>
      <c r="AO356" s="79"/>
      <c r="AP356" s="79"/>
      <c r="AQ356" s="79"/>
      <c r="AR356" s="79"/>
      <c r="AS356" s="79"/>
      <c r="AT356" s="79"/>
      <c r="AU356" s="79"/>
      <c r="AV356" s="79"/>
      <c r="AW356" s="79"/>
    </row>
    <row r="357" spans="1:49" s="78" customFormat="1" ht="15.75">
      <c r="A357" s="119"/>
      <c r="B357" s="120"/>
      <c r="C357" s="121"/>
      <c r="D357" s="121"/>
      <c r="E357" s="121"/>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L357" s="79"/>
      <c r="AM357" s="79"/>
      <c r="AN357" s="79"/>
      <c r="AO357" s="79"/>
      <c r="AP357" s="79"/>
      <c r="AQ357" s="79"/>
      <c r="AR357" s="79"/>
      <c r="AS357" s="79"/>
      <c r="AT357" s="79"/>
      <c r="AU357" s="79"/>
      <c r="AV357" s="79"/>
      <c r="AW357" s="79"/>
    </row>
    <row r="358" spans="1:49" s="78" customFormat="1" ht="15.75">
      <c r="A358" s="119"/>
      <c r="B358" s="120"/>
      <c r="C358" s="121"/>
      <c r="D358" s="121"/>
      <c r="E358" s="121"/>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L358" s="79"/>
      <c r="AM358" s="79"/>
      <c r="AN358" s="79"/>
      <c r="AO358" s="79"/>
      <c r="AP358" s="79"/>
      <c r="AQ358" s="79"/>
      <c r="AR358" s="79"/>
      <c r="AS358" s="79"/>
      <c r="AT358" s="79"/>
      <c r="AU358" s="79"/>
      <c r="AV358" s="79"/>
      <c r="AW358" s="79"/>
    </row>
    <row r="359" spans="1:49" s="78" customFormat="1" ht="15.75">
      <c r="A359" s="119"/>
      <c r="B359" s="120"/>
      <c r="C359" s="121"/>
      <c r="D359" s="121"/>
      <c r="E359" s="121"/>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L359" s="79"/>
      <c r="AM359" s="79"/>
      <c r="AN359" s="79"/>
      <c r="AO359" s="79"/>
      <c r="AP359" s="79"/>
      <c r="AQ359" s="79"/>
      <c r="AR359" s="79"/>
      <c r="AS359" s="79"/>
      <c r="AT359" s="79"/>
      <c r="AU359" s="79"/>
      <c r="AV359" s="79"/>
      <c r="AW359" s="79"/>
    </row>
    <row r="360" spans="1:49" s="78" customFormat="1" ht="15.75">
      <c r="A360" s="119"/>
      <c r="B360" s="120"/>
      <c r="C360" s="121"/>
      <c r="D360" s="121"/>
      <c r="E360" s="121"/>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L360" s="79"/>
      <c r="AM360" s="79"/>
      <c r="AN360" s="79"/>
      <c r="AO360" s="79"/>
      <c r="AP360" s="79"/>
      <c r="AQ360" s="79"/>
      <c r="AR360" s="79"/>
      <c r="AS360" s="79"/>
      <c r="AT360" s="79"/>
      <c r="AU360" s="79"/>
      <c r="AV360" s="79"/>
      <c r="AW360" s="79"/>
    </row>
    <row r="361" spans="1:49" s="78" customFormat="1" ht="15.75">
      <c r="A361" s="119"/>
      <c r="B361" s="120"/>
      <c r="C361" s="121"/>
      <c r="D361" s="121"/>
      <c r="E361" s="121"/>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L361" s="79"/>
      <c r="AM361" s="79"/>
      <c r="AN361" s="79"/>
      <c r="AO361" s="79"/>
      <c r="AP361" s="79"/>
      <c r="AQ361" s="79"/>
      <c r="AR361" s="79"/>
      <c r="AS361" s="79"/>
      <c r="AT361" s="79"/>
      <c r="AU361" s="79"/>
      <c r="AV361" s="79"/>
      <c r="AW361" s="79"/>
    </row>
    <row r="362" spans="1:49" s="78" customFormat="1" ht="15.75">
      <c r="A362" s="119"/>
      <c r="B362" s="120"/>
      <c r="C362" s="121"/>
      <c r="D362" s="121"/>
      <c r="E362" s="121"/>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L362" s="79"/>
      <c r="AM362" s="79"/>
      <c r="AN362" s="79"/>
      <c r="AO362" s="79"/>
      <c r="AP362" s="79"/>
      <c r="AQ362" s="79"/>
      <c r="AR362" s="79"/>
      <c r="AS362" s="79"/>
      <c r="AT362" s="79"/>
      <c r="AU362" s="79"/>
      <c r="AV362" s="79"/>
      <c r="AW362" s="79"/>
    </row>
    <row r="363" spans="1:49" s="78" customFormat="1" ht="15.75">
      <c r="A363" s="119"/>
      <c r="B363" s="120"/>
      <c r="C363" s="121"/>
      <c r="D363" s="121"/>
      <c r="E363" s="121"/>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L363" s="79"/>
      <c r="AM363" s="79"/>
      <c r="AN363" s="79"/>
      <c r="AO363" s="79"/>
      <c r="AP363" s="79"/>
      <c r="AQ363" s="79"/>
      <c r="AR363" s="79"/>
      <c r="AS363" s="79"/>
      <c r="AT363" s="79"/>
      <c r="AU363" s="79"/>
      <c r="AV363" s="79"/>
      <c r="AW363" s="79"/>
    </row>
    <row r="364" spans="1:49" s="78" customFormat="1" ht="15.75">
      <c r="A364" s="119"/>
      <c r="B364" s="120"/>
      <c r="C364" s="121"/>
      <c r="D364" s="121"/>
      <c r="E364" s="121"/>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L364" s="79"/>
      <c r="AM364" s="79"/>
      <c r="AN364" s="79"/>
      <c r="AO364" s="79"/>
      <c r="AP364" s="79"/>
      <c r="AQ364" s="79"/>
      <c r="AR364" s="79"/>
      <c r="AS364" s="79"/>
      <c r="AT364" s="79"/>
      <c r="AU364" s="79"/>
      <c r="AV364" s="79"/>
      <c r="AW364" s="79"/>
    </row>
    <row r="365" spans="1:49" s="78" customFormat="1" ht="15.75">
      <c r="A365" s="119"/>
      <c r="B365" s="120"/>
      <c r="C365" s="121"/>
      <c r="D365" s="121"/>
      <c r="E365" s="121"/>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L365" s="79"/>
      <c r="AM365" s="79"/>
      <c r="AN365" s="79"/>
      <c r="AO365" s="79"/>
      <c r="AP365" s="79"/>
      <c r="AQ365" s="79"/>
      <c r="AR365" s="79"/>
      <c r="AS365" s="79"/>
      <c r="AT365" s="79"/>
      <c r="AU365" s="79"/>
      <c r="AV365" s="79"/>
      <c r="AW365" s="79"/>
    </row>
    <row r="366" spans="1:49" s="78" customFormat="1" ht="15.75">
      <c r="A366" s="119"/>
      <c r="B366" s="120"/>
      <c r="C366" s="121"/>
      <c r="D366" s="121"/>
      <c r="E366" s="121"/>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L366" s="79"/>
      <c r="AM366" s="79"/>
      <c r="AN366" s="79"/>
      <c r="AO366" s="79"/>
      <c r="AP366" s="79"/>
      <c r="AQ366" s="79"/>
      <c r="AR366" s="79"/>
      <c r="AS366" s="79"/>
      <c r="AT366" s="79"/>
      <c r="AU366" s="79"/>
      <c r="AV366" s="79"/>
      <c r="AW366" s="79"/>
    </row>
    <row r="367" spans="1:49" s="78" customFormat="1" ht="15.75">
      <c r="A367" s="119"/>
      <c r="B367" s="120"/>
      <c r="C367" s="121"/>
      <c r="D367" s="121"/>
      <c r="E367" s="121"/>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L367" s="79"/>
      <c r="AM367" s="79"/>
      <c r="AN367" s="79"/>
      <c r="AO367" s="79"/>
      <c r="AP367" s="79"/>
      <c r="AQ367" s="79"/>
      <c r="AR367" s="79"/>
      <c r="AS367" s="79"/>
      <c r="AT367" s="79"/>
      <c r="AU367" s="79"/>
      <c r="AV367" s="79"/>
      <c r="AW367" s="79"/>
    </row>
    <row r="368" spans="1:49" s="78" customFormat="1" ht="15.75">
      <c r="A368" s="119"/>
      <c r="B368" s="120"/>
      <c r="C368" s="121"/>
      <c r="D368" s="12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L368" s="79"/>
      <c r="AM368" s="79"/>
      <c r="AN368" s="79"/>
      <c r="AO368" s="79"/>
      <c r="AP368" s="79"/>
      <c r="AQ368" s="79"/>
      <c r="AR368" s="79"/>
      <c r="AS368" s="79"/>
      <c r="AT368" s="79"/>
      <c r="AU368" s="79"/>
      <c r="AV368" s="79"/>
      <c r="AW368" s="79"/>
    </row>
    <row r="369" spans="1:49" s="78" customFormat="1" ht="15.75">
      <c r="A369" s="119"/>
      <c r="B369" s="120"/>
      <c r="C369" s="121"/>
      <c r="D369" s="121"/>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L369" s="79"/>
      <c r="AM369" s="79"/>
      <c r="AN369" s="79"/>
      <c r="AO369" s="79"/>
      <c r="AP369" s="79"/>
      <c r="AQ369" s="79"/>
      <c r="AR369" s="79"/>
      <c r="AS369" s="79"/>
      <c r="AT369" s="79"/>
      <c r="AU369" s="79"/>
      <c r="AV369" s="79"/>
      <c r="AW369" s="79"/>
    </row>
    <row r="370" spans="1:49" s="78" customFormat="1" ht="15.75">
      <c r="A370" s="119"/>
      <c r="B370" s="120"/>
      <c r="C370" s="121"/>
      <c r="D370" s="121"/>
      <c r="E370" s="121"/>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L370" s="79"/>
      <c r="AM370" s="79"/>
      <c r="AN370" s="79"/>
      <c r="AO370" s="79"/>
      <c r="AP370" s="79"/>
      <c r="AQ370" s="79"/>
      <c r="AR370" s="79"/>
      <c r="AS370" s="79"/>
      <c r="AT370" s="79"/>
      <c r="AU370" s="79"/>
      <c r="AV370" s="79"/>
      <c r="AW370" s="79"/>
    </row>
    <row r="371" spans="1:49" s="78" customFormat="1" ht="15.75">
      <c r="A371" s="119"/>
      <c r="B371" s="120"/>
      <c r="C371" s="121"/>
      <c r="D371" s="121"/>
      <c r="E371" s="121"/>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L371" s="79"/>
      <c r="AM371" s="79"/>
      <c r="AN371" s="79"/>
      <c r="AO371" s="79"/>
      <c r="AP371" s="79"/>
      <c r="AQ371" s="79"/>
      <c r="AR371" s="79"/>
      <c r="AS371" s="79"/>
      <c r="AT371" s="79"/>
      <c r="AU371" s="79"/>
      <c r="AV371" s="79"/>
      <c r="AW371" s="79"/>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39" customWidth="1"/>
    <col min="2" max="2" width="22.28515625" style="40" customWidth="1"/>
    <col min="3" max="3" width="14.85546875" style="43" customWidth="1"/>
    <col min="4" max="12" width="14.85546875" style="3" customWidth="1"/>
    <col min="13" max="14" width="17.28515625" style="3" hidden="1" customWidth="1"/>
    <col min="15" max="16" width="13.7109375" style="3" hidden="1" customWidth="1"/>
    <col min="17" max="17" width="13.28515625" style="3" customWidth="1"/>
    <col min="18" max="16384" width="9.140625" style="13"/>
  </cols>
  <sheetData>
    <row r="1" spans="1:22" ht="29.45" customHeight="1">
      <c r="A1" s="679" t="s">
        <v>141</v>
      </c>
      <c r="B1" s="679"/>
      <c r="C1" s="679"/>
      <c r="D1" s="679"/>
      <c r="E1" s="679"/>
      <c r="F1" s="679"/>
      <c r="G1" s="679"/>
      <c r="H1" s="679"/>
      <c r="I1" s="727" t="s">
        <v>0</v>
      </c>
      <c r="J1" s="727"/>
      <c r="K1" s="727"/>
      <c r="L1" s="727"/>
      <c r="M1" s="727"/>
      <c r="N1" s="727"/>
      <c r="O1" s="2"/>
      <c r="P1" s="2"/>
      <c r="Q1" s="2"/>
      <c r="R1" s="2"/>
    </row>
    <row r="2" spans="1:22" ht="31.9" customHeight="1">
      <c r="A2" s="692" t="s">
        <v>142</v>
      </c>
      <c r="B2" s="692"/>
      <c r="C2" s="692"/>
      <c r="D2" s="692"/>
      <c r="E2" s="692"/>
      <c r="F2" s="692"/>
      <c r="G2" s="692"/>
      <c r="H2" s="692"/>
      <c r="I2" s="728" t="s">
        <v>49</v>
      </c>
      <c r="J2" s="728"/>
      <c r="K2" s="728"/>
      <c r="L2" s="728"/>
      <c r="M2" s="728"/>
      <c r="N2" s="728"/>
      <c r="O2" s="2"/>
      <c r="P2" s="2"/>
      <c r="Q2" s="2"/>
      <c r="R2" s="2"/>
    </row>
    <row r="3" spans="1:22" ht="32.450000000000003" customHeight="1">
      <c r="A3" s="678" t="s">
        <v>50</v>
      </c>
      <c r="B3" s="678"/>
      <c r="C3" s="678"/>
      <c r="D3" s="678"/>
      <c r="E3" s="678"/>
      <c r="F3" s="678"/>
      <c r="G3" s="678"/>
      <c r="H3" s="678"/>
      <c r="I3" s="678"/>
      <c r="J3" s="678"/>
      <c r="K3" s="678"/>
      <c r="L3" s="678"/>
      <c r="M3" s="678"/>
      <c r="N3" s="678"/>
      <c r="O3" s="678"/>
      <c r="P3" s="678"/>
      <c r="Q3" s="678"/>
      <c r="R3" s="126"/>
      <c r="S3" s="126"/>
      <c r="T3" s="126"/>
      <c r="U3" s="126"/>
      <c r="V3" s="126"/>
    </row>
    <row r="4" spans="1:22" ht="34.15" customHeight="1">
      <c r="A4" s="775" t="s">
        <v>143</v>
      </c>
      <c r="B4" s="775"/>
      <c r="C4" s="775"/>
      <c r="D4" s="775"/>
      <c r="E4" s="775"/>
      <c r="F4" s="775"/>
      <c r="G4" s="775"/>
      <c r="H4" s="775"/>
      <c r="I4" s="775"/>
      <c r="J4" s="775"/>
      <c r="K4" s="775"/>
      <c r="L4" s="775"/>
      <c r="M4" s="775"/>
      <c r="N4" s="775"/>
      <c r="O4" s="775"/>
      <c r="P4" s="775"/>
      <c r="Q4" s="775"/>
    </row>
    <row r="5" spans="1:22" s="15" customFormat="1" ht="30" customHeight="1">
      <c r="A5" s="776" t="s">
        <v>3</v>
      </c>
      <c r="B5" s="776"/>
      <c r="C5" s="776"/>
      <c r="D5" s="776"/>
      <c r="E5" s="776"/>
      <c r="F5" s="776"/>
      <c r="G5" s="776"/>
      <c r="H5" s="776"/>
      <c r="I5" s="776"/>
      <c r="J5" s="776"/>
      <c r="K5" s="776"/>
      <c r="L5" s="776"/>
      <c r="M5" s="776"/>
      <c r="N5" s="776"/>
      <c r="O5" s="776"/>
      <c r="P5" s="776"/>
      <c r="Q5" s="776"/>
      <c r="R5" s="13"/>
    </row>
    <row r="6" spans="1:22" s="129" customFormat="1" ht="20.25" customHeight="1">
      <c r="A6" s="698" t="s">
        <v>22</v>
      </c>
      <c r="B6" s="698" t="s">
        <v>23</v>
      </c>
      <c r="C6" s="698" t="s">
        <v>26</v>
      </c>
      <c r="D6" s="717" t="s">
        <v>144</v>
      </c>
      <c r="E6" s="777" t="s">
        <v>145</v>
      </c>
      <c r="F6" s="778"/>
      <c r="G6" s="778"/>
      <c r="H6" s="778"/>
      <c r="I6" s="777" t="s">
        <v>29</v>
      </c>
      <c r="J6" s="778"/>
      <c r="K6" s="778"/>
      <c r="L6" s="778"/>
      <c r="M6" s="127"/>
      <c r="N6" s="127"/>
      <c r="O6" s="127"/>
      <c r="P6" s="128"/>
      <c r="Q6" s="698" t="s">
        <v>7</v>
      </c>
      <c r="R6" s="782"/>
      <c r="S6" s="777" t="s">
        <v>146</v>
      </c>
      <c r="T6" s="778"/>
      <c r="U6" s="778"/>
      <c r="V6" s="778"/>
    </row>
    <row r="7" spans="1:22" s="16" customFormat="1" ht="14.25" customHeight="1">
      <c r="A7" s="699"/>
      <c r="B7" s="699"/>
      <c r="C7" s="699"/>
      <c r="D7" s="718"/>
      <c r="E7" s="779"/>
      <c r="F7" s="780"/>
      <c r="G7" s="780"/>
      <c r="H7" s="780"/>
      <c r="I7" s="779"/>
      <c r="J7" s="780"/>
      <c r="K7" s="780"/>
      <c r="L7" s="780"/>
      <c r="M7" s="706" t="s">
        <v>147</v>
      </c>
      <c r="N7" s="706"/>
      <c r="O7" s="706"/>
      <c r="P7" s="706"/>
      <c r="Q7" s="699"/>
      <c r="R7" s="782"/>
      <c r="S7" s="779"/>
      <c r="T7" s="780"/>
      <c r="U7" s="780"/>
      <c r="V7" s="780"/>
    </row>
    <row r="8" spans="1:22" s="16" customFormat="1" ht="65.25" customHeight="1">
      <c r="A8" s="699"/>
      <c r="B8" s="699"/>
      <c r="C8" s="699"/>
      <c r="D8" s="718"/>
      <c r="E8" s="706" t="s">
        <v>148</v>
      </c>
      <c r="F8" s="706"/>
      <c r="G8" s="706" t="s">
        <v>149</v>
      </c>
      <c r="H8" s="706" t="s">
        <v>150</v>
      </c>
      <c r="I8" s="706" t="s">
        <v>148</v>
      </c>
      <c r="J8" s="706"/>
      <c r="K8" s="706" t="s">
        <v>149</v>
      </c>
      <c r="L8" s="706" t="s">
        <v>150</v>
      </c>
      <c r="M8" s="706" t="s">
        <v>151</v>
      </c>
      <c r="N8" s="706"/>
      <c r="O8" s="706" t="s">
        <v>149</v>
      </c>
      <c r="P8" s="706" t="s">
        <v>150</v>
      </c>
      <c r="Q8" s="699"/>
      <c r="R8" s="782"/>
      <c r="S8" s="706" t="s">
        <v>148</v>
      </c>
      <c r="T8" s="706"/>
      <c r="U8" s="706" t="s">
        <v>149</v>
      </c>
      <c r="V8" s="706" t="s">
        <v>150</v>
      </c>
    </row>
    <row r="9" spans="1:22" s="16" customFormat="1" ht="52.5" customHeight="1">
      <c r="A9" s="700"/>
      <c r="B9" s="700"/>
      <c r="C9" s="700"/>
      <c r="D9" s="719"/>
      <c r="E9" s="44" t="s">
        <v>152</v>
      </c>
      <c r="F9" s="44" t="s">
        <v>153</v>
      </c>
      <c r="G9" s="706"/>
      <c r="H9" s="706"/>
      <c r="I9" s="44" t="s">
        <v>152</v>
      </c>
      <c r="J9" s="44" t="s">
        <v>153</v>
      </c>
      <c r="K9" s="706"/>
      <c r="L9" s="706"/>
      <c r="M9" s="44" t="s">
        <v>152</v>
      </c>
      <c r="N9" s="44" t="s">
        <v>153</v>
      </c>
      <c r="O9" s="706"/>
      <c r="P9" s="706"/>
      <c r="Q9" s="700"/>
      <c r="R9" s="37"/>
      <c r="S9" s="44" t="s">
        <v>152</v>
      </c>
      <c r="T9" s="44" t="s">
        <v>153</v>
      </c>
      <c r="U9" s="706"/>
      <c r="V9" s="706"/>
    </row>
    <row r="10" spans="1:22" s="19" customFormat="1" ht="21.4" customHeight="1">
      <c r="A10" s="18">
        <v>1</v>
      </c>
      <c r="B10" s="18">
        <v>2</v>
      </c>
      <c r="C10" s="18">
        <v>3</v>
      </c>
      <c r="D10" s="18">
        <v>4</v>
      </c>
      <c r="E10" s="18">
        <v>5</v>
      </c>
      <c r="F10" s="18">
        <v>6</v>
      </c>
      <c r="G10" s="18">
        <v>7</v>
      </c>
      <c r="H10" s="18">
        <v>8</v>
      </c>
      <c r="I10" s="18">
        <v>9</v>
      </c>
      <c r="J10" s="18">
        <v>10</v>
      </c>
      <c r="K10" s="18">
        <v>11</v>
      </c>
      <c r="L10" s="18">
        <v>12</v>
      </c>
      <c r="M10" s="18">
        <v>9</v>
      </c>
      <c r="N10" s="18">
        <v>10</v>
      </c>
      <c r="O10" s="18">
        <v>11</v>
      </c>
      <c r="P10" s="18">
        <v>12</v>
      </c>
      <c r="Q10" s="18">
        <v>13</v>
      </c>
    </row>
    <row r="11" spans="1:22" ht="36.75" customHeight="1">
      <c r="A11" s="32"/>
      <c r="B11" s="23" t="s">
        <v>13</v>
      </c>
      <c r="C11" s="33"/>
      <c r="D11" s="34"/>
      <c r="E11" s="34"/>
      <c r="F11" s="34"/>
      <c r="G11" s="34"/>
      <c r="H11" s="34"/>
      <c r="I11" s="34"/>
      <c r="J11" s="34"/>
      <c r="K11" s="34"/>
      <c r="L11" s="34"/>
      <c r="M11" s="34"/>
      <c r="N11" s="34"/>
      <c r="O11" s="34"/>
      <c r="P11" s="34"/>
      <c r="Q11" s="34"/>
    </row>
    <row r="12" spans="1:22" s="25" customFormat="1" ht="36.75" customHeight="1">
      <c r="A12" s="29" t="s">
        <v>37</v>
      </c>
      <c r="B12" s="30" t="s">
        <v>38</v>
      </c>
      <c r="C12" s="23"/>
      <c r="D12" s="24"/>
      <c r="E12" s="24"/>
      <c r="F12" s="24"/>
      <c r="G12" s="24"/>
      <c r="H12" s="24"/>
      <c r="I12" s="24"/>
      <c r="J12" s="24"/>
      <c r="K12" s="24"/>
      <c r="L12" s="24"/>
      <c r="M12" s="24"/>
      <c r="N12" s="24"/>
      <c r="O12" s="24"/>
      <c r="P12" s="24"/>
      <c r="Q12" s="24"/>
    </row>
    <row r="13" spans="1:22" s="25" customFormat="1" ht="36.75" customHeight="1">
      <c r="A13" s="29" t="s">
        <v>39</v>
      </c>
      <c r="B13" s="30" t="s">
        <v>38</v>
      </c>
      <c r="C13" s="23"/>
      <c r="D13" s="24"/>
      <c r="E13" s="24"/>
      <c r="F13" s="24"/>
      <c r="G13" s="24"/>
      <c r="H13" s="24"/>
      <c r="I13" s="24"/>
      <c r="J13" s="24"/>
      <c r="K13" s="24"/>
      <c r="L13" s="24"/>
      <c r="M13" s="24"/>
      <c r="N13" s="24"/>
      <c r="O13" s="24"/>
      <c r="P13" s="24"/>
      <c r="Q13" s="24"/>
    </row>
    <row r="14" spans="1:22" s="25" customFormat="1" ht="36.75" customHeight="1">
      <c r="A14" s="29" t="s">
        <v>40</v>
      </c>
      <c r="B14" s="31" t="s">
        <v>41</v>
      </c>
      <c r="C14" s="23"/>
      <c r="D14" s="24"/>
      <c r="E14" s="24"/>
      <c r="F14" s="24"/>
      <c r="G14" s="24"/>
      <c r="H14" s="24"/>
      <c r="I14" s="24"/>
      <c r="J14" s="24"/>
      <c r="K14" s="24"/>
      <c r="L14" s="24"/>
      <c r="M14" s="24"/>
      <c r="N14" s="24"/>
      <c r="O14" s="24"/>
      <c r="P14" s="24"/>
      <c r="Q14" s="24"/>
    </row>
    <row r="15" spans="1:22" s="25" customFormat="1" ht="8.25" customHeight="1">
      <c r="A15" s="130"/>
      <c r="B15" s="131"/>
      <c r="C15" s="132"/>
      <c r="D15" s="59"/>
      <c r="E15" s="59"/>
      <c r="F15" s="59"/>
      <c r="G15" s="59"/>
      <c r="H15" s="59"/>
      <c r="I15" s="59"/>
      <c r="J15" s="59"/>
      <c r="K15" s="59"/>
      <c r="L15" s="59"/>
      <c r="M15" s="59"/>
      <c r="N15" s="59"/>
      <c r="O15" s="59"/>
      <c r="P15" s="59"/>
      <c r="Q15" s="59"/>
    </row>
    <row r="16" spans="1:22" s="14" customFormat="1" ht="35.25" customHeight="1">
      <c r="A16" s="65"/>
      <c r="B16" s="783" t="s">
        <v>88</v>
      </c>
      <c r="C16" s="783"/>
      <c r="D16" s="783"/>
      <c r="E16" s="783"/>
      <c r="F16" s="783"/>
      <c r="G16" s="783"/>
      <c r="H16" s="783"/>
      <c r="I16" s="783"/>
      <c r="J16" s="783"/>
      <c r="K16" s="783"/>
      <c r="L16" s="783"/>
      <c r="M16" s="783"/>
      <c r="N16" s="783"/>
      <c r="O16" s="783"/>
      <c r="P16" s="783"/>
      <c r="Q16" s="783"/>
    </row>
    <row r="17" spans="1:17" ht="0.75" customHeight="1">
      <c r="A17" s="35"/>
      <c r="B17" s="36"/>
      <c r="C17" s="37"/>
      <c r="D17" s="38"/>
      <c r="E17" s="38"/>
      <c r="F17" s="38"/>
      <c r="G17" s="38"/>
      <c r="H17" s="38"/>
      <c r="I17" s="38"/>
      <c r="J17" s="38"/>
      <c r="K17" s="38"/>
      <c r="L17" s="38"/>
      <c r="M17" s="38"/>
      <c r="N17" s="38"/>
      <c r="O17" s="38"/>
      <c r="P17" s="38"/>
      <c r="Q17" s="38"/>
    </row>
    <row r="18" spans="1:17" s="133" customFormat="1" ht="25.5" customHeight="1">
      <c r="A18" s="130"/>
      <c r="B18" s="745" t="s">
        <v>20</v>
      </c>
      <c r="C18" s="745"/>
      <c r="D18" s="745"/>
      <c r="E18" s="745"/>
      <c r="F18" s="745"/>
      <c r="G18" s="745"/>
      <c r="H18" s="745"/>
      <c r="I18" s="745"/>
      <c r="J18" s="745"/>
      <c r="K18" s="745"/>
      <c r="L18" s="745"/>
      <c r="M18" s="745"/>
      <c r="N18" s="745"/>
      <c r="O18" s="745"/>
      <c r="P18" s="745"/>
      <c r="Q18" s="745"/>
    </row>
    <row r="19" spans="1:17" s="133" customFormat="1" ht="25.5" customHeight="1">
      <c r="A19" s="130"/>
      <c r="B19" s="134" t="s">
        <v>154</v>
      </c>
      <c r="C19" s="130"/>
      <c r="D19" s="130"/>
      <c r="E19" s="130"/>
      <c r="F19" s="130"/>
      <c r="G19" s="130"/>
      <c r="H19" s="130"/>
      <c r="I19" s="130"/>
      <c r="J19" s="130"/>
      <c r="K19" s="130"/>
      <c r="L19" s="130"/>
      <c r="M19" s="130"/>
      <c r="N19" s="130"/>
      <c r="O19" s="130"/>
      <c r="P19" s="130"/>
    </row>
    <row r="20" spans="1:17" s="133" customFormat="1" ht="25.5" customHeight="1">
      <c r="A20" s="130"/>
      <c r="B20" s="135"/>
      <c r="C20" s="130"/>
      <c r="D20" s="130"/>
      <c r="E20" s="130"/>
      <c r="F20" s="130"/>
      <c r="G20" s="130"/>
      <c r="H20" s="130"/>
      <c r="I20" s="130"/>
      <c r="J20" s="130"/>
      <c r="K20" s="130"/>
      <c r="L20" s="130"/>
      <c r="M20" s="130"/>
      <c r="N20" s="130"/>
      <c r="O20" s="130"/>
      <c r="P20" s="130"/>
    </row>
    <row r="21" spans="1:17" s="133" customFormat="1" ht="25.5" customHeight="1">
      <c r="A21" s="136"/>
    </row>
    <row r="22" spans="1:17" s="133" customFormat="1" ht="25.5" customHeight="1">
      <c r="A22" s="136"/>
      <c r="C22" s="136"/>
      <c r="D22" s="136"/>
      <c r="E22" s="136"/>
      <c r="F22" s="136"/>
      <c r="G22" s="136"/>
      <c r="H22" s="136"/>
      <c r="I22" s="136"/>
      <c r="J22" s="136"/>
      <c r="K22" s="136"/>
      <c r="L22" s="136"/>
      <c r="M22" s="136"/>
      <c r="N22" s="136"/>
      <c r="O22" s="136"/>
      <c r="P22" s="136"/>
    </row>
    <row r="23" spans="1:17" s="133" customFormat="1" ht="25.5" customHeight="1">
      <c r="A23" s="136"/>
      <c r="C23" s="136"/>
      <c r="D23" s="136"/>
      <c r="E23" s="136"/>
      <c r="F23" s="136"/>
      <c r="G23" s="136"/>
      <c r="H23" s="136"/>
      <c r="I23" s="136"/>
      <c r="J23" s="136"/>
      <c r="K23" s="136"/>
      <c r="L23" s="136"/>
      <c r="M23" s="136"/>
      <c r="N23" s="136"/>
      <c r="O23" s="136"/>
      <c r="P23" s="136"/>
    </row>
    <row r="24" spans="1:17" s="133" customFormat="1" ht="25.5" customHeight="1">
      <c r="A24" s="136"/>
      <c r="C24" s="136"/>
      <c r="D24" s="136"/>
      <c r="E24" s="136"/>
      <c r="F24" s="136"/>
      <c r="G24" s="136"/>
      <c r="H24" s="136"/>
      <c r="I24" s="136"/>
      <c r="J24" s="136"/>
      <c r="K24" s="136"/>
      <c r="L24" s="136"/>
      <c r="M24" s="136"/>
      <c r="N24" s="136"/>
      <c r="O24" s="136"/>
      <c r="P24" s="136"/>
    </row>
    <row r="25" spans="1:17" s="133" customFormat="1" ht="25.5" customHeight="1">
      <c r="A25" s="136"/>
      <c r="C25" s="136"/>
      <c r="D25" s="136"/>
      <c r="E25" s="136"/>
      <c r="F25" s="136"/>
      <c r="G25" s="136"/>
      <c r="H25" s="136"/>
      <c r="I25" s="136"/>
      <c r="J25" s="136"/>
      <c r="K25" s="136"/>
      <c r="L25" s="136"/>
      <c r="M25" s="136"/>
      <c r="N25" s="136"/>
      <c r="O25" s="136"/>
      <c r="P25" s="136"/>
    </row>
    <row r="26" spans="1:17" s="133" customFormat="1" ht="25.5" customHeight="1">
      <c r="A26" s="136"/>
      <c r="C26" s="136"/>
      <c r="D26" s="136"/>
      <c r="E26" s="136"/>
      <c r="F26" s="136"/>
      <c r="G26" s="136"/>
      <c r="H26" s="136"/>
      <c r="I26" s="136"/>
      <c r="J26" s="136"/>
      <c r="K26" s="136"/>
      <c r="L26" s="136"/>
      <c r="M26" s="136"/>
      <c r="N26" s="136"/>
      <c r="O26" s="136"/>
      <c r="P26" s="136"/>
    </row>
    <row r="27" spans="1:17" s="133" customFormat="1" ht="25.5" customHeight="1">
      <c r="A27" s="136"/>
      <c r="C27" s="136"/>
      <c r="D27" s="136"/>
      <c r="E27" s="136"/>
      <c r="F27" s="136"/>
      <c r="G27" s="136"/>
      <c r="H27" s="136"/>
      <c r="I27" s="136"/>
      <c r="J27" s="136"/>
      <c r="K27" s="136"/>
      <c r="L27" s="136"/>
      <c r="M27" s="136"/>
      <c r="N27" s="136"/>
      <c r="O27" s="136"/>
      <c r="P27" s="136"/>
    </row>
    <row r="28" spans="1:17" s="133" customFormat="1" ht="25.5" customHeight="1">
      <c r="A28" s="136"/>
      <c r="C28" s="136"/>
      <c r="D28" s="136"/>
      <c r="E28" s="136"/>
      <c r="F28" s="136"/>
      <c r="G28" s="136"/>
      <c r="H28" s="136"/>
      <c r="I28" s="136"/>
      <c r="J28" s="136"/>
      <c r="K28" s="136"/>
      <c r="L28" s="136"/>
      <c r="M28" s="136"/>
      <c r="N28" s="136"/>
      <c r="O28" s="136"/>
      <c r="P28" s="136"/>
    </row>
    <row r="29" spans="1:17" s="133" customFormat="1" ht="25.5" hidden="1" customHeight="1">
      <c r="A29" s="136"/>
      <c r="C29" s="136"/>
      <c r="D29" s="136"/>
      <c r="E29" s="136"/>
      <c r="F29" s="136"/>
      <c r="G29" s="136"/>
      <c r="H29" s="136"/>
      <c r="I29" s="136"/>
      <c r="J29" s="136"/>
      <c r="K29" s="136"/>
      <c r="L29" s="136"/>
      <c r="M29" s="136"/>
      <c r="N29" s="136"/>
      <c r="O29" s="136"/>
      <c r="P29" s="136"/>
    </row>
    <row r="30" spans="1:17" s="133" customFormat="1" ht="25.5" hidden="1" customHeight="1">
      <c r="A30" s="136"/>
      <c r="C30" s="136"/>
      <c r="D30" s="136"/>
      <c r="E30" s="136"/>
      <c r="F30" s="136"/>
      <c r="G30" s="136"/>
      <c r="H30" s="136"/>
      <c r="I30" s="136"/>
      <c r="J30" s="136"/>
      <c r="K30" s="136"/>
      <c r="L30" s="136"/>
      <c r="M30" s="136"/>
      <c r="N30" s="136"/>
      <c r="O30" s="136"/>
      <c r="P30" s="136"/>
    </row>
    <row r="31" spans="1:17" s="133" customFormat="1" ht="25.5" hidden="1" customHeight="1"/>
    <row r="32" spans="1:17" s="133" customFormat="1" ht="25.5" hidden="1" customHeight="1"/>
    <row r="33" spans="1:29" s="133" customFormat="1" ht="25.5" hidden="1" customHeight="1">
      <c r="A33" s="136"/>
      <c r="C33" s="136"/>
      <c r="D33" s="136"/>
      <c r="E33" s="136"/>
      <c r="F33" s="136"/>
      <c r="G33" s="136"/>
      <c r="H33" s="136"/>
      <c r="I33" s="136"/>
      <c r="J33" s="136"/>
      <c r="K33" s="136"/>
      <c r="L33" s="136"/>
      <c r="M33" s="136"/>
      <c r="N33" s="136"/>
      <c r="O33" s="136"/>
      <c r="P33" s="136"/>
    </row>
    <row r="34" spans="1:29" s="133" customFormat="1" ht="25.5" hidden="1" customHeight="1"/>
    <row r="35" spans="1:29" s="133" customFormat="1" ht="25.5" hidden="1" customHeight="1"/>
    <row r="36" spans="1:29" s="133" customFormat="1" ht="25.5" hidden="1" customHeight="1"/>
    <row r="37" spans="1:29" s="133" customFormat="1" ht="25.5" hidden="1" customHeight="1"/>
    <row r="38" spans="1:29" s="133" customFormat="1" ht="25.5" hidden="1" customHeight="1"/>
    <row r="39" spans="1:29" ht="19.899999999999999" customHeight="1">
      <c r="B39" s="781"/>
      <c r="C39" s="781"/>
      <c r="D39" s="781"/>
      <c r="E39" s="781"/>
      <c r="F39" s="781"/>
      <c r="G39" s="781"/>
      <c r="H39" s="781"/>
      <c r="I39" s="781"/>
      <c r="J39" s="781"/>
      <c r="K39" s="781"/>
      <c r="L39" s="781"/>
      <c r="M39" s="41"/>
      <c r="N39" s="41"/>
      <c r="O39" s="41"/>
      <c r="P39" s="41"/>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39"/>
      <c r="B45" s="40"/>
      <c r="C45" s="43"/>
      <c r="R45" s="13"/>
      <c r="S45" s="13"/>
      <c r="T45" s="13"/>
      <c r="U45" s="13"/>
      <c r="V45" s="13"/>
      <c r="W45" s="13"/>
      <c r="X45" s="13"/>
      <c r="Y45" s="13"/>
      <c r="Z45" s="13"/>
      <c r="AA45" s="13"/>
      <c r="AB45" s="13"/>
      <c r="AC45" s="13"/>
    </row>
    <row r="46" spans="1:29" s="3" customFormat="1" ht="19.899999999999999" customHeight="1">
      <c r="A46" s="39"/>
      <c r="B46" s="40"/>
      <c r="C46" s="43"/>
      <c r="R46" s="13"/>
      <c r="S46" s="13"/>
      <c r="T46" s="13"/>
      <c r="U46" s="13"/>
      <c r="V46" s="13"/>
      <c r="W46" s="13"/>
      <c r="X46" s="13"/>
      <c r="Y46" s="13"/>
      <c r="Z46" s="13"/>
      <c r="AA46" s="13"/>
      <c r="AB46" s="13"/>
      <c r="AC46" s="13"/>
    </row>
    <row r="47" spans="1:29" s="3" customFormat="1" ht="19.899999999999999" customHeight="1">
      <c r="A47" s="39"/>
      <c r="B47" s="40"/>
      <c r="C47" s="43"/>
      <c r="R47" s="13"/>
      <c r="S47" s="13"/>
      <c r="T47" s="13"/>
      <c r="U47" s="13"/>
      <c r="V47" s="13"/>
      <c r="W47" s="13"/>
      <c r="X47" s="13"/>
      <c r="Y47" s="13"/>
      <c r="Z47" s="13"/>
      <c r="AA47" s="13"/>
      <c r="AB47" s="13"/>
      <c r="AC47" s="13"/>
    </row>
    <row r="48" spans="1:29" s="3" customFormat="1" ht="19.899999999999999" customHeight="1">
      <c r="A48" s="39"/>
      <c r="B48" s="40"/>
      <c r="C48" s="43"/>
      <c r="R48" s="13"/>
      <c r="S48" s="13"/>
      <c r="T48" s="13"/>
      <c r="U48" s="13"/>
      <c r="V48" s="13"/>
      <c r="W48" s="13"/>
      <c r="X48" s="13"/>
      <c r="Y48" s="13"/>
      <c r="Z48" s="13"/>
      <c r="AA48" s="13"/>
      <c r="AB48" s="13"/>
      <c r="AC48" s="13"/>
    </row>
    <row r="49" spans="1:29" s="3" customFormat="1" ht="19.899999999999999" customHeight="1">
      <c r="A49" s="39"/>
      <c r="B49" s="40"/>
      <c r="C49" s="43"/>
      <c r="R49" s="13"/>
      <c r="S49" s="13"/>
      <c r="T49" s="13"/>
      <c r="U49" s="13"/>
      <c r="V49" s="13"/>
      <c r="W49" s="13"/>
      <c r="X49" s="13"/>
      <c r="Y49" s="13"/>
      <c r="Z49" s="13"/>
      <c r="AA49" s="13"/>
      <c r="AB49" s="13"/>
      <c r="AC49" s="13"/>
    </row>
    <row r="50" spans="1:29" s="3" customFormat="1" ht="19.899999999999999" customHeight="1">
      <c r="A50" s="39"/>
      <c r="B50" s="40"/>
      <c r="C50" s="43"/>
      <c r="R50" s="13"/>
      <c r="S50" s="13"/>
      <c r="T50" s="13"/>
      <c r="U50" s="13"/>
      <c r="V50" s="13"/>
      <c r="W50" s="13"/>
      <c r="X50" s="13"/>
      <c r="Y50" s="13"/>
      <c r="Z50" s="13"/>
      <c r="AA50" s="13"/>
      <c r="AB50" s="13"/>
      <c r="AC50" s="13"/>
    </row>
    <row r="51" spans="1:29" s="3" customFormat="1" ht="19.899999999999999" customHeight="1">
      <c r="A51" s="39"/>
      <c r="B51" s="40"/>
      <c r="C51" s="43"/>
      <c r="R51" s="13"/>
      <c r="S51" s="13"/>
      <c r="T51" s="13"/>
      <c r="U51" s="13"/>
      <c r="V51" s="13"/>
      <c r="W51" s="13"/>
      <c r="X51" s="13"/>
      <c r="Y51" s="13"/>
      <c r="Z51" s="13"/>
      <c r="AA51" s="13"/>
      <c r="AB51" s="13"/>
      <c r="AC51" s="13"/>
    </row>
    <row r="52" spans="1:29" s="3" customFormat="1" ht="19.899999999999999" customHeight="1">
      <c r="A52" s="39"/>
      <c r="B52" s="40"/>
      <c r="C52" s="43"/>
      <c r="R52" s="13"/>
      <c r="S52" s="13"/>
      <c r="T52" s="13"/>
      <c r="U52" s="13"/>
      <c r="V52" s="13"/>
      <c r="W52" s="13"/>
      <c r="X52" s="13"/>
      <c r="Y52" s="13"/>
      <c r="Z52" s="13"/>
      <c r="AA52" s="13"/>
      <c r="AB52" s="13"/>
      <c r="AC52" s="13"/>
    </row>
    <row r="53" spans="1:29" s="3" customFormat="1" ht="19.899999999999999" customHeight="1">
      <c r="A53" s="39"/>
      <c r="B53" s="40"/>
      <c r="C53" s="43"/>
      <c r="R53" s="13"/>
      <c r="S53" s="13"/>
      <c r="T53" s="13"/>
      <c r="U53" s="13"/>
      <c r="V53" s="13"/>
      <c r="W53" s="13"/>
      <c r="X53" s="13"/>
      <c r="Y53" s="13"/>
      <c r="Z53" s="13"/>
      <c r="AA53" s="13"/>
      <c r="AB53" s="13"/>
      <c r="AC53" s="13"/>
    </row>
    <row r="54" spans="1:29" s="3" customFormat="1">
      <c r="A54" s="39"/>
      <c r="B54" s="40"/>
      <c r="C54" s="43"/>
      <c r="R54" s="13"/>
      <c r="S54" s="13"/>
      <c r="T54" s="13"/>
      <c r="U54" s="13"/>
      <c r="V54" s="13"/>
      <c r="W54" s="13"/>
      <c r="X54" s="13"/>
      <c r="Y54" s="13"/>
      <c r="Z54" s="13"/>
      <c r="AA54" s="13"/>
      <c r="AB54" s="13"/>
      <c r="AC54" s="13"/>
    </row>
    <row r="55" spans="1:29" s="3" customFormat="1">
      <c r="A55" s="39"/>
      <c r="B55" s="40"/>
      <c r="C55" s="43"/>
      <c r="R55" s="13"/>
      <c r="S55" s="13"/>
      <c r="T55" s="13"/>
      <c r="U55" s="13"/>
      <c r="V55" s="13"/>
      <c r="W55" s="13"/>
      <c r="X55" s="13"/>
      <c r="Y55" s="13"/>
      <c r="Z55" s="13"/>
      <c r="AA55" s="13"/>
      <c r="AB55" s="13"/>
      <c r="AC55" s="13"/>
    </row>
    <row r="56" spans="1:29" s="3" customFormat="1">
      <c r="A56" s="39"/>
      <c r="B56" s="40"/>
      <c r="C56" s="43"/>
      <c r="R56" s="13"/>
      <c r="S56" s="13"/>
      <c r="T56" s="13"/>
      <c r="U56" s="13"/>
      <c r="V56" s="13"/>
      <c r="W56" s="13"/>
      <c r="X56" s="13"/>
      <c r="Y56" s="13"/>
      <c r="Z56" s="13"/>
      <c r="AA56" s="13"/>
      <c r="AB56" s="13"/>
      <c r="AC56" s="13"/>
    </row>
    <row r="57" spans="1:29" s="3" customFormat="1">
      <c r="A57" s="39"/>
      <c r="B57" s="40"/>
      <c r="C57" s="43"/>
      <c r="R57" s="13"/>
      <c r="S57" s="13"/>
      <c r="T57" s="13"/>
      <c r="U57" s="13"/>
      <c r="V57" s="13"/>
      <c r="W57" s="13"/>
      <c r="X57" s="13"/>
      <c r="Y57" s="13"/>
      <c r="Z57" s="13"/>
      <c r="AA57" s="13"/>
      <c r="AB57" s="13"/>
      <c r="AC57" s="13"/>
    </row>
    <row r="58" spans="1:29" s="3" customFormat="1">
      <c r="A58" s="39"/>
      <c r="B58" s="40"/>
      <c r="C58" s="43"/>
      <c r="R58" s="13"/>
      <c r="S58" s="13"/>
      <c r="T58" s="13"/>
      <c r="U58" s="13"/>
      <c r="V58" s="13"/>
      <c r="W58" s="13"/>
      <c r="X58" s="13"/>
      <c r="Y58" s="13"/>
      <c r="Z58" s="13"/>
      <c r="AA58" s="13"/>
      <c r="AB58" s="13"/>
      <c r="AC58" s="13"/>
    </row>
    <row r="59" spans="1:29" s="3" customFormat="1">
      <c r="A59" s="39"/>
      <c r="B59" s="40"/>
      <c r="C59" s="43"/>
      <c r="R59" s="13"/>
      <c r="S59" s="13"/>
      <c r="T59" s="13"/>
      <c r="U59" s="13"/>
      <c r="V59" s="13"/>
      <c r="W59" s="13"/>
      <c r="X59" s="13"/>
      <c r="Y59" s="13"/>
      <c r="Z59" s="13"/>
      <c r="AA59" s="13"/>
      <c r="AB59" s="13"/>
      <c r="AC59" s="13"/>
    </row>
    <row r="60" spans="1:29" s="3" customFormat="1">
      <c r="A60" s="39"/>
      <c r="B60" s="40"/>
      <c r="C60" s="43"/>
      <c r="R60" s="13"/>
      <c r="S60" s="13"/>
      <c r="T60" s="13"/>
      <c r="U60" s="13"/>
      <c r="V60" s="13"/>
      <c r="W60" s="13"/>
      <c r="X60" s="13"/>
      <c r="Y60" s="13"/>
      <c r="Z60" s="13"/>
      <c r="AA60" s="13"/>
      <c r="AB60" s="13"/>
      <c r="AC60" s="13"/>
    </row>
    <row r="61" spans="1:29" s="3" customFormat="1">
      <c r="A61" s="39"/>
      <c r="B61" s="40"/>
      <c r="C61" s="43"/>
      <c r="R61" s="13"/>
      <c r="S61" s="13"/>
      <c r="T61" s="13"/>
      <c r="U61" s="13"/>
      <c r="V61" s="13"/>
      <c r="W61" s="13"/>
      <c r="X61" s="13"/>
      <c r="Y61" s="13"/>
      <c r="Z61" s="13"/>
      <c r="AA61" s="13"/>
      <c r="AB61" s="13"/>
      <c r="AC61" s="13"/>
    </row>
    <row r="62" spans="1:29" s="3" customFormat="1">
      <c r="A62" s="39"/>
      <c r="B62" s="40"/>
      <c r="C62" s="43"/>
      <c r="R62" s="13"/>
      <c r="S62" s="13"/>
      <c r="T62" s="13"/>
      <c r="U62" s="13"/>
      <c r="V62" s="13"/>
      <c r="W62" s="13"/>
      <c r="X62" s="13"/>
      <c r="Y62" s="13"/>
      <c r="Z62" s="13"/>
      <c r="AA62" s="13"/>
      <c r="AB62" s="13"/>
      <c r="AC62" s="13"/>
    </row>
    <row r="63" spans="1:29" s="3" customFormat="1">
      <c r="A63" s="39"/>
      <c r="B63" s="40"/>
      <c r="C63" s="43"/>
      <c r="R63" s="13"/>
      <c r="S63" s="13"/>
      <c r="T63" s="13"/>
      <c r="U63" s="13"/>
      <c r="V63" s="13"/>
      <c r="W63" s="13"/>
      <c r="X63" s="13"/>
      <c r="Y63" s="13"/>
      <c r="Z63" s="13"/>
      <c r="AA63" s="13"/>
      <c r="AB63" s="13"/>
      <c r="AC63" s="13"/>
    </row>
    <row r="64" spans="1:29" s="3" customFormat="1">
      <c r="A64" s="39"/>
      <c r="B64" s="40"/>
      <c r="C64" s="43"/>
      <c r="R64" s="13"/>
      <c r="S64" s="13"/>
      <c r="T64" s="13"/>
      <c r="U64" s="13"/>
      <c r="V64" s="13"/>
      <c r="W64" s="13"/>
      <c r="X64" s="13"/>
      <c r="Y64" s="13"/>
      <c r="Z64" s="13"/>
      <c r="AA64" s="13"/>
      <c r="AB64" s="13"/>
      <c r="AC64" s="13"/>
    </row>
    <row r="65" spans="1:29" s="3" customFormat="1">
      <c r="A65" s="39"/>
      <c r="B65" s="40"/>
      <c r="C65" s="43"/>
      <c r="R65" s="13"/>
      <c r="S65" s="13"/>
      <c r="T65" s="13"/>
      <c r="U65" s="13"/>
      <c r="V65" s="13"/>
      <c r="W65" s="13"/>
      <c r="X65" s="13"/>
      <c r="Y65" s="13"/>
      <c r="Z65" s="13"/>
      <c r="AA65" s="13"/>
      <c r="AB65" s="13"/>
      <c r="AC65" s="13"/>
    </row>
    <row r="66" spans="1:29" s="3" customFormat="1">
      <c r="A66" s="39"/>
      <c r="B66" s="40"/>
      <c r="C66" s="43"/>
      <c r="R66" s="13"/>
      <c r="S66" s="13"/>
      <c r="T66" s="13"/>
      <c r="U66" s="13"/>
      <c r="V66" s="13"/>
      <c r="W66" s="13"/>
      <c r="X66" s="13"/>
      <c r="Y66" s="13"/>
      <c r="Z66" s="13"/>
      <c r="AA66" s="13"/>
      <c r="AB66" s="13"/>
      <c r="AC66" s="13"/>
    </row>
    <row r="67" spans="1:29" s="3" customFormat="1">
      <c r="A67" s="39"/>
      <c r="B67" s="40"/>
      <c r="C67" s="43"/>
      <c r="R67" s="13"/>
      <c r="S67" s="13"/>
      <c r="T67" s="13"/>
      <c r="U67" s="13"/>
      <c r="V67" s="13"/>
      <c r="W67" s="13"/>
      <c r="X67" s="13"/>
      <c r="Y67" s="13"/>
      <c r="Z67" s="13"/>
      <c r="AA67" s="13"/>
      <c r="AB67" s="13"/>
      <c r="AC67" s="13"/>
    </row>
    <row r="68" spans="1:29" s="3" customFormat="1">
      <c r="A68" s="39"/>
      <c r="B68" s="40"/>
      <c r="C68" s="43"/>
      <c r="R68" s="13"/>
      <c r="S68" s="13"/>
      <c r="T68" s="13"/>
      <c r="U68" s="13"/>
      <c r="V68" s="13"/>
      <c r="W68" s="13"/>
      <c r="X68" s="13"/>
      <c r="Y68" s="13"/>
      <c r="Z68" s="13"/>
      <c r="AA68" s="13"/>
      <c r="AB68" s="13"/>
      <c r="AC68" s="13"/>
    </row>
    <row r="69" spans="1:29" s="3" customFormat="1">
      <c r="A69" s="39"/>
      <c r="B69" s="40"/>
      <c r="C69" s="43"/>
      <c r="R69" s="13"/>
      <c r="S69" s="13"/>
      <c r="T69" s="13"/>
      <c r="U69" s="13"/>
      <c r="V69" s="13"/>
      <c r="W69" s="13"/>
      <c r="X69" s="13"/>
      <c r="Y69" s="13"/>
      <c r="Z69" s="13"/>
      <c r="AA69" s="13"/>
      <c r="AB69" s="13"/>
      <c r="AC69" s="13"/>
    </row>
    <row r="70" spans="1:29" s="3" customFormat="1">
      <c r="A70" s="39"/>
      <c r="B70" s="40"/>
      <c r="C70" s="43"/>
      <c r="R70" s="13"/>
      <c r="S70" s="13"/>
      <c r="T70" s="13"/>
      <c r="U70" s="13"/>
      <c r="V70" s="13"/>
      <c r="W70" s="13"/>
      <c r="X70" s="13"/>
      <c r="Y70" s="13"/>
      <c r="Z70" s="13"/>
      <c r="AA70" s="13"/>
      <c r="AB70" s="13"/>
      <c r="AC70" s="13"/>
    </row>
    <row r="71" spans="1:29" s="3" customFormat="1">
      <c r="A71" s="39"/>
      <c r="B71" s="40"/>
      <c r="C71" s="43"/>
      <c r="R71" s="13"/>
      <c r="S71" s="13"/>
      <c r="T71" s="13"/>
      <c r="U71" s="13"/>
      <c r="V71" s="13"/>
      <c r="W71" s="13"/>
      <c r="X71" s="13"/>
      <c r="Y71" s="13"/>
      <c r="Z71" s="13"/>
      <c r="AA71" s="13"/>
      <c r="AB71" s="13"/>
      <c r="AC71" s="13"/>
    </row>
    <row r="72" spans="1:29" s="3" customFormat="1">
      <c r="A72" s="39"/>
      <c r="B72" s="40"/>
      <c r="C72" s="43"/>
      <c r="R72" s="13"/>
      <c r="S72" s="13"/>
      <c r="T72" s="13"/>
      <c r="U72" s="13"/>
      <c r="V72" s="13"/>
      <c r="W72" s="13"/>
      <c r="X72" s="13"/>
      <c r="Y72" s="13"/>
      <c r="Z72" s="13"/>
      <c r="AA72" s="13"/>
      <c r="AB72" s="13"/>
      <c r="AC72" s="13"/>
    </row>
    <row r="73" spans="1:29" s="3" customFormat="1">
      <c r="A73" s="39"/>
      <c r="B73" s="40"/>
      <c r="C73" s="43"/>
      <c r="R73" s="13"/>
      <c r="S73" s="13"/>
      <c r="T73" s="13"/>
      <c r="U73" s="13"/>
      <c r="V73" s="13"/>
      <c r="W73" s="13"/>
      <c r="X73" s="13"/>
      <c r="Y73" s="13"/>
      <c r="Z73" s="13"/>
      <c r="AA73" s="13"/>
      <c r="AB73" s="13"/>
      <c r="AC73" s="13"/>
    </row>
    <row r="74" spans="1:29" s="3" customFormat="1">
      <c r="A74" s="39"/>
      <c r="B74" s="40"/>
      <c r="C74" s="43"/>
      <c r="R74" s="13"/>
      <c r="S74" s="13"/>
      <c r="T74" s="13"/>
      <c r="U74" s="13"/>
      <c r="V74" s="13"/>
      <c r="W74" s="13"/>
      <c r="X74" s="13"/>
      <c r="Y74" s="13"/>
      <c r="Z74" s="13"/>
      <c r="AA74" s="13"/>
      <c r="AB74" s="13"/>
      <c r="AC74" s="13"/>
    </row>
    <row r="75" spans="1:29" s="3" customFormat="1">
      <c r="A75" s="39"/>
      <c r="B75" s="40"/>
      <c r="C75" s="43"/>
      <c r="R75" s="13"/>
      <c r="S75" s="13"/>
      <c r="T75" s="13"/>
      <c r="U75" s="13"/>
      <c r="V75" s="13"/>
      <c r="W75" s="13"/>
      <c r="X75" s="13"/>
      <c r="Y75" s="13"/>
      <c r="Z75" s="13"/>
      <c r="AA75" s="13"/>
      <c r="AB75" s="13"/>
      <c r="AC75" s="13"/>
    </row>
    <row r="76" spans="1:29" s="3" customFormat="1">
      <c r="A76" s="39"/>
      <c r="B76" s="40"/>
      <c r="C76" s="43"/>
      <c r="R76" s="13"/>
      <c r="S76" s="13"/>
      <c r="T76" s="13"/>
      <c r="U76" s="13"/>
      <c r="V76" s="13"/>
      <c r="W76" s="13"/>
      <c r="X76" s="13"/>
      <c r="Y76" s="13"/>
      <c r="Z76" s="13"/>
      <c r="AA76" s="13"/>
      <c r="AB76" s="13"/>
      <c r="AC76" s="13"/>
    </row>
    <row r="77" spans="1:29" s="3" customFormat="1">
      <c r="A77" s="39"/>
      <c r="B77" s="40"/>
      <c r="C77" s="43"/>
      <c r="R77" s="13"/>
      <c r="S77" s="13"/>
      <c r="T77" s="13"/>
      <c r="U77" s="13"/>
      <c r="V77" s="13"/>
      <c r="W77" s="13"/>
      <c r="X77" s="13"/>
      <c r="Y77" s="13"/>
      <c r="Z77" s="13"/>
      <c r="AA77" s="13"/>
      <c r="AB77" s="13"/>
      <c r="AC77" s="13"/>
    </row>
    <row r="78" spans="1:29" s="3" customFormat="1">
      <c r="A78" s="39"/>
      <c r="B78" s="40"/>
      <c r="C78" s="43"/>
      <c r="R78" s="13"/>
      <c r="S78" s="13"/>
      <c r="T78" s="13"/>
      <c r="U78" s="13"/>
      <c r="V78" s="13"/>
      <c r="W78" s="13"/>
      <c r="X78" s="13"/>
      <c r="Y78" s="13"/>
      <c r="Z78" s="13"/>
      <c r="AA78" s="13"/>
      <c r="AB78" s="13"/>
      <c r="AC78" s="13"/>
    </row>
    <row r="79" spans="1:29" s="3" customFormat="1">
      <c r="A79" s="39"/>
      <c r="B79" s="40"/>
      <c r="C79" s="43"/>
      <c r="R79" s="13"/>
      <c r="S79" s="13"/>
      <c r="T79" s="13"/>
      <c r="U79" s="13"/>
      <c r="V79" s="13"/>
      <c r="W79" s="13"/>
      <c r="X79" s="13"/>
      <c r="Y79" s="13"/>
      <c r="Z79" s="13"/>
      <c r="AA79" s="13"/>
      <c r="AB79" s="13"/>
      <c r="AC79" s="13"/>
    </row>
    <row r="80" spans="1:29" s="3" customFormat="1">
      <c r="A80" s="39"/>
      <c r="B80" s="40"/>
      <c r="C80" s="43"/>
      <c r="R80" s="13"/>
      <c r="S80" s="13"/>
      <c r="T80" s="13"/>
      <c r="U80" s="13"/>
      <c r="V80" s="13"/>
      <c r="W80" s="13"/>
      <c r="X80" s="13"/>
      <c r="Y80" s="13"/>
      <c r="Z80" s="13"/>
      <c r="AA80" s="13"/>
      <c r="AB80" s="13"/>
      <c r="AC80" s="13"/>
    </row>
    <row r="81" spans="1:29" s="3" customFormat="1">
      <c r="A81" s="39"/>
      <c r="B81" s="40"/>
      <c r="C81" s="43"/>
      <c r="R81" s="13"/>
      <c r="S81" s="13"/>
      <c r="T81" s="13"/>
      <c r="U81" s="13"/>
      <c r="V81" s="13"/>
      <c r="W81" s="13"/>
      <c r="X81" s="13"/>
      <c r="Y81" s="13"/>
      <c r="Z81" s="13"/>
      <c r="AA81" s="13"/>
      <c r="AB81" s="13"/>
      <c r="AC81" s="13"/>
    </row>
    <row r="82" spans="1:29" s="3" customFormat="1">
      <c r="A82" s="39"/>
      <c r="B82" s="40"/>
      <c r="C82" s="43"/>
      <c r="R82" s="13"/>
      <c r="S82" s="13"/>
      <c r="T82" s="13"/>
      <c r="U82" s="13"/>
      <c r="V82" s="13"/>
      <c r="W82" s="13"/>
      <c r="X82" s="13"/>
      <c r="Y82" s="13"/>
      <c r="Z82" s="13"/>
      <c r="AA82" s="13"/>
      <c r="AB82" s="13"/>
      <c r="AC82" s="13"/>
    </row>
    <row r="83" spans="1:29" s="3" customFormat="1">
      <c r="A83" s="39"/>
      <c r="B83" s="40"/>
      <c r="C83" s="43"/>
      <c r="R83" s="13"/>
      <c r="S83" s="13"/>
      <c r="T83" s="13"/>
      <c r="U83" s="13"/>
      <c r="V83" s="13"/>
      <c r="W83" s="13"/>
      <c r="X83" s="13"/>
      <c r="Y83" s="13"/>
      <c r="Z83" s="13"/>
      <c r="AA83" s="13"/>
      <c r="AB83" s="13"/>
      <c r="AC83" s="13"/>
    </row>
    <row r="84" spans="1:29" s="3" customFormat="1">
      <c r="A84" s="39"/>
      <c r="B84" s="40"/>
      <c r="C84" s="43"/>
      <c r="R84" s="13"/>
      <c r="S84" s="13"/>
      <c r="T84" s="13"/>
      <c r="U84" s="13"/>
      <c r="V84" s="13"/>
      <c r="W84" s="13"/>
      <c r="X84" s="13"/>
      <c r="Y84" s="13"/>
      <c r="Z84" s="13"/>
      <c r="AA84" s="13"/>
      <c r="AB84" s="13"/>
      <c r="AC84" s="13"/>
    </row>
    <row r="85" spans="1:29" s="3" customFormat="1">
      <c r="A85" s="39"/>
      <c r="B85" s="40"/>
      <c r="C85" s="43"/>
      <c r="R85" s="13"/>
      <c r="S85" s="13"/>
      <c r="T85" s="13"/>
      <c r="U85" s="13"/>
      <c r="V85" s="13"/>
      <c r="W85" s="13"/>
      <c r="X85" s="13"/>
      <c r="Y85" s="13"/>
      <c r="Z85" s="13"/>
      <c r="AA85" s="13"/>
      <c r="AB85" s="13"/>
      <c r="AC85" s="13"/>
    </row>
    <row r="86" spans="1:29" s="3" customFormat="1">
      <c r="A86" s="39"/>
      <c r="B86" s="40"/>
      <c r="C86" s="43"/>
      <c r="R86" s="13"/>
      <c r="S86" s="13"/>
      <c r="T86" s="13"/>
      <c r="U86" s="13"/>
      <c r="V86" s="13"/>
      <c r="W86" s="13"/>
      <c r="X86" s="13"/>
      <c r="Y86" s="13"/>
      <c r="Z86" s="13"/>
      <c r="AA86" s="13"/>
      <c r="AB86" s="13"/>
      <c r="AC86" s="13"/>
    </row>
    <row r="87" spans="1:29" s="3" customFormat="1">
      <c r="A87" s="39"/>
      <c r="B87" s="40"/>
      <c r="C87" s="43"/>
      <c r="R87" s="13"/>
      <c r="S87" s="13"/>
      <c r="T87" s="13"/>
      <c r="U87" s="13"/>
      <c r="V87" s="13"/>
      <c r="W87" s="13"/>
      <c r="X87" s="13"/>
      <c r="Y87" s="13"/>
      <c r="Z87" s="13"/>
      <c r="AA87" s="13"/>
      <c r="AB87" s="13"/>
      <c r="AC87" s="13"/>
    </row>
    <row r="88" spans="1:29" s="3" customFormat="1">
      <c r="A88" s="39"/>
      <c r="B88" s="40"/>
      <c r="C88" s="43"/>
      <c r="R88" s="13"/>
      <c r="S88" s="13"/>
      <c r="T88" s="13"/>
      <c r="U88" s="13"/>
      <c r="V88" s="13"/>
      <c r="W88" s="13"/>
      <c r="X88" s="13"/>
      <c r="Y88" s="13"/>
      <c r="Z88" s="13"/>
      <c r="AA88" s="13"/>
      <c r="AB88" s="13"/>
      <c r="AC88" s="13"/>
    </row>
    <row r="89" spans="1:29" s="3" customFormat="1">
      <c r="A89" s="39"/>
      <c r="B89" s="40"/>
      <c r="C89" s="43"/>
      <c r="R89" s="13"/>
      <c r="S89" s="13"/>
      <c r="T89" s="13"/>
      <c r="U89" s="13"/>
      <c r="V89" s="13"/>
      <c r="W89" s="13"/>
      <c r="X89" s="13"/>
      <c r="Y89" s="13"/>
      <c r="Z89" s="13"/>
      <c r="AA89" s="13"/>
      <c r="AB89" s="13"/>
      <c r="AC89" s="13"/>
    </row>
    <row r="90" spans="1:29" s="3" customFormat="1">
      <c r="A90" s="39"/>
      <c r="B90" s="40"/>
      <c r="C90" s="43"/>
      <c r="R90" s="13"/>
      <c r="S90" s="13"/>
      <c r="T90" s="13"/>
      <c r="U90" s="13"/>
      <c r="V90" s="13"/>
      <c r="W90" s="13"/>
      <c r="X90" s="13"/>
      <c r="Y90" s="13"/>
      <c r="Z90" s="13"/>
      <c r="AA90" s="13"/>
      <c r="AB90" s="13"/>
      <c r="AC90" s="13"/>
    </row>
    <row r="91" spans="1:29" s="3" customFormat="1">
      <c r="A91" s="39"/>
      <c r="B91" s="40"/>
      <c r="C91" s="43"/>
      <c r="R91" s="13"/>
      <c r="S91" s="13"/>
      <c r="T91" s="13"/>
      <c r="U91" s="13"/>
      <c r="V91" s="13"/>
      <c r="W91" s="13"/>
      <c r="X91" s="13"/>
      <c r="Y91" s="13"/>
      <c r="Z91" s="13"/>
      <c r="AA91" s="13"/>
      <c r="AB91" s="13"/>
      <c r="AC91" s="13"/>
    </row>
    <row r="92" spans="1:29" s="3" customFormat="1">
      <c r="A92" s="39"/>
      <c r="B92" s="40"/>
      <c r="C92" s="43"/>
      <c r="R92" s="13"/>
      <c r="S92" s="13"/>
      <c r="T92" s="13"/>
      <c r="U92" s="13"/>
      <c r="V92" s="13"/>
      <c r="W92" s="13"/>
      <c r="X92" s="13"/>
      <c r="Y92" s="13"/>
      <c r="Z92" s="13"/>
      <c r="AA92" s="13"/>
      <c r="AB92" s="13"/>
      <c r="AC92" s="13"/>
    </row>
    <row r="93" spans="1:29" s="3" customFormat="1">
      <c r="A93" s="39"/>
      <c r="B93" s="40"/>
      <c r="C93" s="43"/>
      <c r="R93" s="13"/>
      <c r="S93" s="13"/>
      <c r="T93" s="13"/>
      <c r="U93" s="13"/>
      <c r="V93" s="13"/>
      <c r="W93" s="13"/>
      <c r="X93" s="13"/>
      <c r="Y93" s="13"/>
      <c r="Z93" s="13"/>
      <c r="AA93" s="13"/>
      <c r="AB93" s="13"/>
      <c r="AC93" s="13"/>
    </row>
    <row r="94" spans="1:29" s="3" customFormat="1">
      <c r="A94" s="39"/>
      <c r="B94" s="40"/>
      <c r="C94" s="43"/>
      <c r="R94" s="13"/>
      <c r="S94" s="13"/>
      <c r="T94" s="13"/>
      <c r="U94" s="13"/>
      <c r="V94" s="13"/>
      <c r="W94" s="13"/>
      <c r="X94" s="13"/>
      <c r="Y94" s="13"/>
      <c r="Z94" s="13"/>
      <c r="AA94" s="13"/>
      <c r="AB94" s="13"/>
      <c r="AC94" s="13"/>
    </row>
    <row r="95" spans="1:29" s="3" customFormat="1">
      <c r="A95" s="39"/>
      <c r="B95" s="40"/>
      <c r="C95" s="43"/>
      <c r="R95" s="13"/>
      <c r="S95" s="13"/>
      <c r="T95" s="13"/>
      <c r="U95" s="13"/>
      <c r="V95" s="13"/>
      <c r="W95" s="13"/>
      <c r="X95" s="13"/>
      <c r="Y95" s="13"/>
      <c r="Z95" s="13"/>
      <c r="AA95" s="13"/>
      <c r="AB95" s="13"/>
      <c r="AC95" s="13"/>
    </row>
    <row r="96" spans="1:29" s="3" customFormat="1">
      <c r="A96" s="39"/>
      <c r="B96" s="40"/>
      <c r="C96" s="43"/>
      <c r="R96" s="13"/>
      <c r="S96" s="13"/>
      <c r="T96" s="13"/>
      <c r="U96" s="13"/>
      <c r="V96" s="13"/>
      <c r="W96" s="13"/>
      <c r="X96" s="13"/>
      <c r="Y96" s="13"/>
      <c r="Z96" s="13"/>
      <c r="AA96" s="13"/>
      <c r="AB96" s="13"/>
      <c r="AC96" s="13"/>
    </row>
    <row r="97" spans="1:29" s="3" customFormat="1">
      <c r="A97" s="39"/>
      <c r="B97" s="40"/>
      <c r="C97" s="43"/>
      <c r="R97" s="13"/>
      <c r="S97" s="13"/>
      <c r="T97" s="13"/>
      <c r="U97" s="13"/>
      <c r="V97" s="13"/>
      <c r="W97" s="13"/>
      <c r="X97" s="13"/>
      <c r="Y97" s="13"/>
      <c r="Z97" s="13"/>
      <c r="AA97" s="13"/>
      <c r="AB97" s="13"/>
      <c r="AC97" s="13"/>
    </row>
    <row r="98" spans="1:29" s="3" customFormat="1">
      <c r="A98" s="39"/>
      <c r="B98" s="40"/>
      <c r="C98" s="43"/>
      <c r="R98" s="13"/>
      <c r="S98" s="13"/>
      <c r="T98" s="13"/>
      <c r="U98" s="13"/>
      <c r="V98" s="13"/>
      <c r="W98" s="13"/>
      <c r="X98" s="13"/>
      <c r="Y98" s="13"/>
      <c r="Z98" s="13"/>
      <c r="AA98" s="13"/>
      <c r="AB98" s="13"/>
      <c r="AC98" s="13"/>
    </row>
    <row r="99" spans="1:29" s="3" customFormat="1">
      <c r="A99" s="39"/>
      <c r="B99" s="40"/>
      <c r="C99" s="43"/>
      <c r="R99" s="13"/>
      <c r="S99" s="13"/>
      <c r="T99" s="13"/>
      <c r="U99" s="13"/>
      <c r="V99" s="13"/>
      <c r="W99" s="13"/>
      <c r="X99" s="13"/>
      <c r="Y99" s="13"/>
      <c r="Z99" s="13"/>
      <c r="AA99" s="13"/>
      <c r="AB99" s="13"/>
      <c r="AC99" s="13"/>
    </row>
    <row r="100" spans="1:29" s="3" customFormat="1">
      <c r="A100" s="39"/>
      <c r="B100" s="40"/>
      <c r="C100" s="43"/>
      <c r="R100" s="13"/>
      <c r="S100" s="13"/>
      <c r="T100" s="13"/>
      <c r="U100" s="13"/>
      <c r="V100" s="13"/>
      <c r="W100" s="13"/>
      <c r="X100" s="13"/>
      <c r="Y100" s="13"/>
      <c r="Z100" s="13"/>
      <c r="AA100" s="13"/>
      <c r="AB100" s="13"/>
      <c r="AC100" s="13"/>
    </row>
    <row r="101" spans="1:29" s="3" customFormat="1">
      <c r="A101" s="39"/>
      <c r="B101" s="40"/>
      <c r="C101" s="43"/>
      <c r="R101" s="13"/>
      <c r="S101" s="13"/>
      <c r="T101" s="13"/>
      <c r="U101" s="13"/>
      <c r="V101" s="13"/>
      <c r="W101" s="13"/>
      <c r="X101" s="13"/>
      <c r="Y101" s="13"/>
      <c r="Z101" s="13"/>
      <c r="AA101" s="13"/>
      <c r="AB101" s="13"/>
      <c r="AC101" s="13"/>
    </row>
    <row r="102" spans="1:29" s="3" customFormat="1">
      <c r="A102" s="39"/>
      <c r="B102" s="40"/>
      <c r="C102" s="43"/>
      <c r="R102" s="13"/>
      <c r="S102" s="13"/>
      <c r="T102" s="13"/>
      <c r="U102" s="13"/>
      <c r="V102" s="13"/>
      <c r="W102" s="13"/>
      <c r="X102" s="13"/>
      <c r="Y102" s="13"/>
      <c r="Z102" s="13"/>
      <c r="AA102" s="13"/>
      <c r="AB102" s="13"/>
      <c r="AC102" s="13"/>
    </row>
    <row r="103" spans="1:29" s="3" customFormat="1">
      <c r="A103" s="39"/>
      <c r="B103" s="40"/>
      <c r="C103" s="43"/>
      <c r="R103" s="13"/>
      <c r="S103" s="13"/>
      <c r="T103" s="13"/>
      <c r="U103" s="13"/>
      <c r="V103" s="13"/>
      <c r="W103" s="13"/>
      <c r="X103" s="13"/>
      <c r="Y103" s="13"/>
      <c r="Z103" s="13"/>
      <c r="AA103" s="13"/>
      <c r="AB103" s="13"/>
      <c r="AC103" s="13"/>
    </row>
    <row r="104" spans="1:29" s="3" customFormat="1">
      <c r="A104" s="39"/>
      <c r="B104" s="40"/>
      <c r="C104" s="43"/>
      <c r="R104" s="13"/>
      <c r="S104" s="13"/>
      <c r="T104" s="13"/>
      <c r="U104" s="13"/>
      <c r="V104" s="13"/>
      <c r="W104" s="13"/>
      <c r="X104" s="13"/>
      <c r="Y104" s="13"/>
      <c r="Z104" s="13"/>
      <c r="AA104" s="13"/>
      <c r="AB104" s="13"/>
      <c r="AC104" s="13"/>
    </row>
    <row r="105" spans="1:29" s="3" customFormat="1">
      <c r="A105" s="39"/>
      <c r="B105" s="40"/>
      <c r="C105" s="43"/>
      <c r="R105" s="13"/>
      <c r="S105" s="13"/>
      <c r="T105" s="13"/>
      <c r="U105" s="13"/>
      <c r="V105" s="13"/>
      <c r="W105" s="13"/>
      <c r="X105" s="13"/>
      <c r="Y105" s="13"/>
      <c r="Z105" s="13"/>
      <c r="AA105" s="13"/>
      <c r="AB105" s="13"/>
      <c r="AC105" s="13"/>
    </row>
    <row r="106" spans="1:29" s="3" customFormat="1">
      <c r="A106" s="39"/>
      <c r="B106" s="40"/>
      <c r="C106" s="43"/>
      <c r="R106" s="13"/>
      <c r="S106" s="13"/>
      <c r="T106" s="13"/>
      <c r="U106" s="13"/>
      <c r="V106" s="13"/>
      <c r="W106" s="13"/>
      <c r="X106" s="13"/>
      <c r="Y106" s="13"/>
      <c r="Z106" s="13"/>
      <c r="AA106" s="13"/>
      <c r="AB106" s="13"/>
      <c r="AC106" s="13"/>
    </row>
    <row r="107" spans="1:29" s="3" customFormat="1">
      <c r="A107" s="39"/>
      <c r="B107" s="40"/>
      <c r="C107" s="43"/>
      <c r="R107" s="13"/>
      <c r="S107" s="13"/>
      <c r="T107" s="13"/>
      <c r="U107" s="13"/>
      <c r="V107" s="13"/>
      <c r="W107" s="13"/>
      <c r="X107" s="13"/>
      <c r="Y107" s="13"/>
      <c r="Z107" s="13"/>
      <c r="AA107" s="13"/>
      <c r="AB107" s="13"/>
      <c r="AC107" s="13"/>
    </row>
    <row r="108" spans="1:29" s="3" customFormat="1">
      <c r="A108" s="39"/>
      <c r="B108" s="40"/>
      <c r="C108" s="43"/>
      <c r="R108" s="13"/>
      <c r="S108" s="13"/>
      <c r="T108" s="13"/>
      <c r="U108" s="13"/>
      <c r="V108" s="13"/>
      <c r="W108" s="13"/>
      <c r="X108" s="13"/>
      <c r="Y108" s="13"/>
      <c r="Z108" s="13"/>
      <c r="AA108" s="13"/>
      <c r="AB108" s="13"/>
      <c r="AC108" s="13"/>
    </row>
    <row r="109" spans="1:29" s="3" customFormat="1">
      <c r="A109" s="39"/>
      <c r="B109" s="40"/>
      <c r="C109" s="43"/>
      <c r="R109" s="13"/>
      <c r="S109" s="13"/>
      <c r="T109" s="13"/>
      <c r="U109" s="13"/>
      <c r="V109" s="13"/>
      <c r="W109" s="13"/>
      <c r="X109" s="13"/>
      <c r="Y109" s="13"/>
      <c r="Z109" s="13"/>
      <c r="AA109" s="13"/>
      <c r="AB109" s="13"/>
      <c r="AC109" s="13"/>
    </row>
    <row r="110" spans="1:29" s="3" customFormat="1">
      <c r="A110" s="39"/>
      <c r="B110" s="40"/>
      <c r="C110" s="43"/>
      <c r="R110" s="13"/>
      <c r="S110" s="13"/>
      <c r="T110" s="13"/>
      <c r="U110" s="13"/>
      <c r="V110" s="13"/>
      <c r="W110" s="13"/>
      <c r="X110" s="13"/>
      <c r="Y110" s="13"/>
      <c r="Z110" s="13"/>
      <c r="AA110" s="13"/>
      <c r="AB110" s="13"/>
      <c r="AC110" s="13"/>
    </row>
    <row r="111" spans="1:29" s="3" customFormat="1">
      <c r="A111" s="39"/>
      <c r="B111" s="40"/>
      <c r="C111" s="43"/>
      <c r="R111" s="13"/>
      <c r="S111" s="13"/>
      <c r="T111" s="13"/>
      <c r="U111" s="13"/>
      <c r="V111" s="13"/>
      <c r="W111" s="13"/>
      <c r="X111" s="13"/>
      <c r="Y111" s="13"/>
      <c r="Z111" s="13"/>
      <c r="AA111" s="13"/>
      <c r="AB111" s="13"/>
      <c r="AC111" s="13"/>
    </row>
    <row r="112" spans="1:29" s="3" customFormat="1">
      <c r="A112" s="39"/>
      <c r="B112" s="40"/>
      <c r="C112" s="43"/>
      <c r="R112" s="13"/>
      <c r="S112" s="13"/>
      <c r="T112" s="13"/>
      <c r="U112" s="13"/>
      <c r="V112" s="13"/>
      <c r="W112" s="13"/>
      <c r="X112" s="13"/>
      <c r="Y112" s="13"/>
      <c r="Z112" s="13"/>
      <c r="AA112" s="13"/>
      <c r="AB112" s="13"/>
      <c r="AC112" s="13"/>
    </row>
    <row r="113" spans="1:29" s="3" customFormat="1">
      <c r="A113" s="39"/>
      <c r="B113" s="40"/>
      <c r="C113" s="43"/>
      <c r="R113" s="13"/>
      <c r="S113" s="13"/>
      <c r="T113" s="13"/>
      <c r="U113" s="13"/>
      <c r="V113" s="13"/>
      <c r="W113" s="13"/>
      <c r="X113" s="13"/>
      <c r="Y113" s="13"/>
      <c r="Z113" s="13"/>
      <c r="AA113" s="13"/>
      <c r="AB113" s="13"/>
      <c r="AC113" s="13"/>
    </row>
    <row r="114" spans="1:29" s="3" customFormat="1">
      <c r="A114" s="39"/>
      <c r="B114" s="40"/>
      <c r="C114" s="43"/>
      <c r="R114" s="13"/>
      <c r="S114" s="13"/>
      <c r="T114" s="13"/>
      <c r="U114" s="13"/>
      <c r="V114" s="13"/>
      <c r="W114" s="13"/>
      <c r="X114" s="13"/>
      <c r="Y114" s="13"/>
      <c r="Z114" s="13"/>
      <c r="AA114" s="13"/>
      <c r="AB114" s="13"/>
      <c r="AC114" s="13"/>
    </row>
    <row r="115" spans="1:29" s="3" customFormat="1">
      <c r="A115" s="39"/>
      <c r="B115" s="40"/>
      <c r="C115" s="43"/>
      <c r="R115" s="13"/>
      <c r="S115" s="13"/>
      <c r="T115" s="13"/>
      <c r="U115" s="13"/>
      <c r="V115" s="13"/>
      <c r="W115" s="13"/>
      <c r="X115" s="13"/>
      <c r="Y115" s="13"/>
      <c r="Z115" s="13"/>
      <c r="AA115" s="13"/>
      <c r="AB115" s="13"/>
      <c r="AC115" s="13"/>
    </row>
    <row r="116" spans="1:29" s="3" customFormat="1">
      <c r="A116" s="39"/>
      <c r="B116" s="40"/>
      <c r="C116" s="43"/>
      <c r="R116" s="13"/>
      <c r="S116" s="13"/>
      <c r="T116" s="13"/>
      <c r="U116" s="13"/>
      <c r="V116" s="13"/>
      <c r="W116" s="13"/>
      <c r="X116" s="13"/>
      <c r="Y116" s="13"/>
      <c r="Z116" s="13"/>
      <c r="AA116" s="13"/>
      <c r="AB116" s="13"/>
      <c r="AC116" s="13"/>
    </row>
    <row r="117" spans="1:29" s="3" customFormat="1">
      <c r="A117" s="39"/>
      <c r="B117" s="40"/>
      <c r="C117" s="43"/>
      <c r="R117" s="13"/>
      <c r="S117" s="13"/>
      <c r="T117" s="13"/>
      <c r="U117" s="13"/>
      <c r="V117" s="13"/>
      <c r="W117" s="13"/>
      <c r="X117" s="13"/>
      <c r="Y117" s="13"/>
      <c r="Z117" s="13"/>
      <c r="AA117" s="13"/>
      <c r="AB117" s="13"/>
      <c r="AC117" s="13"/>
    </row>
    <row r="118" spans="1:29" s="3" customFormat="1">
      <c r="A118" s="39"/>
      <c r="B118" s="40"/>
      <c r="C118" s="43"/>
      <c r="R118" s="13"/>
      <c r="S118" s="13"/>
      <c r="T118" s="13"/>
      <c r="U118" s="13"/>
      <c r="V118" s="13"/>
      <c r="W118" s="13"/>
      <c r="X118" s="13"/>
      <c r="Y118" s="13"/>
      <c r="Z118" s="13"/>
      <c r="AA118" s="13"/>
      <c r="AB118" s="13"/>
      <c r="AC118" s="13"/>
    </row>
    <row r="119" spans="1:29" s="3" customFormat="1">
      <c r="A119" s="39"/>
      <c r="B119" s="40"/>
      <c r="C119" s="43"/>
      <c r="R119" s="13"/>
      <c r="S119" s="13"/>
      <c r="T119" s="13"/>
      <c r="U119" s="13"/>
      <c r="V119" s="13"/>
      <c r="W119" s="13"/>
      <c r="X119" s="13"/>
      <c r="Y119" s="13"/>
      <c r="Z119" s="13"/>
      <c r="AA119" s="13"/>
      <c r="AB119" s="13"/>
      <c r="AC119" s="13"/>
    </row>
    <row r="120" spans="1:29" s="3" customFormat="1">
      <c r="A120" s="39"/>
      <c r="B120" s="40"/>
      <c r="C120" s="43"/>
      <c r="R120" s="13"/>
      <c r="S120" s="13"/>
      <c r="T120" s="13"/>
      <c r="U120" s="13"/>
      <c r="V120" s="13"/>
      <c r="W120" s="13"/>
      <c r="X120" s="13"/>
      <c r="Y120" s="13"/>
      <c r="Z120" s="13"/>
      <c r="AA120" s="13"/>
      <c r="AB120" s="13"/>
      <c r="AC120" s="13"/>
    </row>
    <row r="121" spans="1:29" s="3" customFormat="1">
      <c r="A121" s="39"/>
      <c r="B121" s="40"/>
      <c r="C121" s="43"/>
      <c r="R121" s="13"/>
      <c r="S121" s="13"/>
      <c r="T121" s="13"/>
      <c r="U121" s="13"/>
      <c r="V121" s="13"/>
      <c r="W121" s="13"/>
      <c r="X121" s="13"/>
      <c r="Y121" s="13"/>
      <c r="Z121" s="13"/>
      <c r="AA121" s="13"/>
      <c r="AB121" s="13"/>
      <c r="AC121" s="13"/>
    </row>
    <row r="122" spans="1:29" s="3" customFormat="1">
      <c r="A122" s="39"/>
      <c r="B122" s="40"/>
      <c r="C122" s="43"/>
      <c r="R122" s="13"/>
      <c r="S122" s="13"/>
      <c r="T122" s="13"/>
      <c r="U122" s="13"/>
      <c r="V122" s="13"/>
      <c r="W122" s="13"/>
      <c r="X122" s="13"/>
      <c r="Y122" s="13"/>
      <c r="Z122" s="13"/>
      <c r="AA122" s="13"/>
      <c r="AB122" s="13"/>
      <c r="AC122" s="13"/>
    </row>
    <row r="123" spans="1:29" s="3" customFormat="1">
      <c r="A123" s="39"/>
      <c r="B123" s="40"/>
      <c r="C123" s="43"/>
      <c r="R123" s="13"/>
      <c r="S123" s="13"/>
      <c r="T123" s="13"/>
      <c r="U123" s="13"/>
      <c r="V123" s="13"/>
      <c r="W123" s="13"/>
      <c r="X123" s="13"/>
      <c r="Y123" s="13"/>
      <c r="Z123" s="13"/>
      <c r="AA123" s="13"/>
      <c r="AB123" s="13"/>
      <c r="AC123" s="13"/>
    </row>
    <row r="124" spans="1:29" s="3" customFormat="1">
      <c r="A124" s="39"/>
      <c r="B124" s="40"/>
      <c r="C124" s="43"/>
      <c r="R124" s="13"/>
      <c r="S124" s="13"/>
      <c r="T124" s="13"/>
      <c r="U124" s="13"/>
      <c r="V124" s="13"/>
      <c r="W124" s="13"/>
      <c r="X124" s="13"/>
      <c r="Y124" s="13"/>
      <c r="Z124" s="13"/>
      <c r="AA124" s="13"/>
      <c r="AB124" s="13"/>
      <c r="AC124" s="13"/>
    </row>
    <row r="125" spans="1:29" s="3" customFormat="1">
      <c r="A125" s="39"/>
      <c r="B125" s="40"/>
      <c r="C125" s="43"/>
      <c r="R125" s="13"/>
      <c r="S125" s="13"/>
      <c r="T125" s="13"/>
      <c r="U125" s="13"/>
      <c r="V125" s="13"/>
      <c r="W125" s="13"/>
      <c r="X125" s="13"/>
      <c r="Y125" s="13"/>
      <c r="Z125" s="13"/>
      <c r="AA125" s="13"/>
      <c r="AB125" s="13"/>
      <c r="AC125" s="13"/>
    </row>
    <row r="126" spans="1:29" s="3" customFormat="1">
      <c r="A126" s="39"/>
      <c r="B126" s="40"/>
      <c r="C126" s="43"/>
      <c r="R126" s="13"/>
      <c r="S126" s="13"/>
      <c r="T126" s="13"/>
      <c r="U126" s="13"/>
      <c r="V126" s="13"/>
      <c r="W126" s="13"/>
      <c r="X126" s="13"/>
      <c r="Y126" s="13"/>
      <c r="Z126" s="13"/>
      <c r="AA126" s="13"/>
      <c r="AB126" s="13"/>
      <c r="AC126" s="13"/>
    </row>
    <row r="127" spans="1:29" s="3" customFormat="1">
      <c r="A127" s="39"/>
      <c r="B127" s="40"/>
      <c r="C127" s="43"/>
      <c r="R127" s="13"/>
      <c r="S127" s="13"/>
      <c r="T127" s="13"/>
      <c r="U127" s="13"/>
      <c r="V127" s="13"/>
      <c r="W127" s="13"/>
      <c r="X127" s="13"/>
      <c r="Y127" s="13"/>
      <c r="Z127" s="13"/>
      <c r="AA127" s="13"/>
      <c r="AB127" s="13"/>
      <c r="AC127" s="13"/>
    </row>
    <row r="128" spans="1:29" s="3" customFormat="1">
      <c r="A128" s="39"/>
      <c r="B128" s="40"/>
      <c r="C128" s="43"/>
      <c r="R128" s="13"/>
      <c r="S128" s="13"/>
      <c r="T128" s="13"/>
      <c r="U128" s="13"/>
      <c r="V128" s="13"/>
      <c r="W128" s="13"/>
      <c r="X128" s="13"/>
      <c r="Y128" s="13"/>
      <c r="Z128" s="13"/>
      <c r="AA128" s="13"/>
      <c r="AB128" s="13"/>
      <c r="AC128" s="13"/>
    </row>
    <row r="129" spans="1:29" s="3" customFormat="1">
      <c r="A129" s="39"/>
      <c r="B129" s="40"/>
      <c r="C129" s="43"/>
      <c r="R129" s="13"/>
      <c r="S129" s="13"/>
      <c r="T129" s="13"/>
      <c r="U129" s="13"/>
      <c r="V129" s="13"/>
      <c r="W129" s="13"/>
      <c r="X129" s="13"/>
      <c r="Y129" s="13"/>
      <c r="Z129" s="13"/>
      <c r="AA129" s="13"/>
      <c r="AB129" s="13"/>
      <c r="AC129" s="13"/>
    </row>
    <row r="130" spans="1:29" s="3" customFormat="1">
      <c r="A130" s="39"/>
      <c r="B130" s="40"/>
      <c r="C130" s="43"/>
      <c r="R130" s="13"/>
      <c r="S130" s="13"/>
      <c r="T130" s="13"/>
      <c r="U130" s="13"/>
      <c r="V130" s="13"/>
      <c r="W130" s="13"/>
      <c r="X130" s="13"/>
      <c r="Y130" s="13"/>
      <c r="Z130" s="13"/>
      <c r="AA130" s="13"/>
      <c r="AB130" s="13"/>
      <c r="AC130" s="13"/>
    </row>
    <row r="131" spans="1:29" s="3" customFormat="1">
      <c r="A131" s="39"/>
      <c r="B131" s="40"/>
      <c r="C131" s="43"/>
      <c r="R131" s="13"/>
      <c r="S131" s="13"/>
      <c r="T131" s="13"/>
      <c r="U131" s="13"/>
      <c r="V131" s="13"/>
      <c r="W131" s="13"/>
      <c r="X131" s="13"/>
      <c r="Y131" s="13"/>
      <c r="Z131" s="13"/>
      <c r="AA131" s="13"/>
      <c r="AB131" s="13"/>
      <c r="AC131" s="13"/>
    </row>
    <row r="132" spans="1:29" s="3" customFormat="1">
      <c r="A132" s="39"/>
      <c r="B132" s="40"/>
      <c r="C132" s="43"/>
      <c r="R132" s="13"/>
      <c r="S132" s="13"/>
      <c r="T132" s="13"/>
      <c r="U132" s="13"/>
      <c r="V132" s="13"/>
      <c r="W132" s="13"/>
      <c r="X132" s="13"/>
      <c r="Y132" s="13"/>
      <c r="Z132" s="13"/>
      <c r="AA132" s="13"/>
      <c r="AB132" s="13"/>
      <c r="AC132" s="13"/>
    </row>
    <row r="133" spans="1:29" s="3" customFormat="1">
      <c r="A133" s="39"/>
      <c r="B133" s="40"/>
      <c r="C133" s="43"/>
      <c r="R133" s="13"/>
      <c r="S133" s="13"/>
      <c r="T133" s="13"/>
      <c r="U133" s="13"/>
      <c r="V133" s="13"/>
      <c r="W133" s="13"/>
      <c r="X133" s="13"/>
      <c r="Y133" s="13"/>
      <c r="Z133" s="13"/>
      <c r="AA133" s="13"/>
      <c r="AB133" s="13"/>
      <c r="AC133" s="13"/>
    </row>
    <row r="134" spans="1:29" s="3" customFormat="1">
      <c r="A134" s="39"/>
      <c r="B134" s="40"/>
      <c r="C134" s="43"/>
      <c r="R134" s="13"/>
      <c r="S134" s="13"/>
      <c r="T134" s="13"/>
      <c r="U134" s="13"/>
      <c r="V134" s="13"/>
      <c r="W134" s="13"/>
      <c r="X134" s="13"/>
      <c r="Y134" s="13"/>
      <c r="Z134" s="13"/>
      <c r="AA134" s="13"/>
      <c r="AB134" s="13"/>
      <c r="AC134" s="13"/>
    </row>
    <row r="135" spans="1:29" s="3" customFormat="1">
      <c r="A135" s="39"/>
      <c r="B135" s="40"/>
      <c r="C135" s="43"/>
      <c r="R135" s="13"/>
      <c r="S135" s="13"/>
      <c r="T135" s="13"/>
      <c r="U135" s="13"/>
      <c r="V135" s="13"/>
      <c r="W135" s="13"/>
      <c r="X135" s="13"/>
      <c r="Y135" s="13"/>
      <c r="Z135" s="13"/>
      <c r="AA135" s="13"/>
      <c r="AB135" s="13"/>
      <c r="AC135" s="13"/>
    </row>
    <row r="136" spans="1:29" s="3" customFormat="1">
      <c r="A136" s="39"/>
      <c r="B136" s="40"/>
      <c r="C136" s="43"/>
      <c r="R136" s="13"/>
      <c r="S136" s="13"/>
      <c r="T136" s="13"/>
      <c r="U136" s="13"/>
      <c r="V136" s="13"/>
      <c r="W136" s="13"/>
      <c r="X136" s="13"/>
      <c r="Y136" s="13"/>
      <c r="Z136" s="13"/>
      <c r="AA136" s="13"/>
      <c r="AB136" s="13"/>
      <c r="AC136" s="13"/>
    </row>
    <row r="137" spans="1:29" s="3" customFormat="1">
      <c r="A137" s="39"/>
      <c r="B137" s="40"/>
      <c r="C137" s="43"/>
      <c r="R137" s="13"/>
      <c r="S137" s="13"/>
      <c r="T137" s="13"/>
      <c r="U137" s="13"/>
      <c r="V137" s="13"/>
      <c r="W137" s="13"/>
      <c r="X137" s="13"/>
      <c r="Y137" s="13"/>
      <c r="Z137" s="13"/>
      <c r="AA137" s="13"/>
      <c r="AB137" s="13"/>
      <c r="AC137" s="13"/>
    </row>
    <row r="138" spans="1:29" s="3" customFormat="1">
      <c r="A138" s="39"/>
      <c r="B138" s="40"/>
      <c r="C138" s="43"/>
      <c r="R138" s="13"/>
      <c r="S138" s="13"/>
      <c r="T138" s="13"/>
      <c r="U138" s="13"/>
      <c r="V138" s="13"/>
      <c r="W138" s="13"/>
      <c r="X138" s="13"/>
      <c r="Y138" s="13"/>
      <c r="Z138" s="13"/>
      <c r="AA138" s="13"/>
      <c r="AB138" s="13"/>
      <c r="AC138" s="13"/>
    </row>
    <row r="139" spans="1:29" s="3" customFormat="1">
      <c r="A139" s="39"/>
      <c r="B139" s="40"/>
      <c r="C139" s="43"/>
      <c r="R139" s="13"/>
      <c r="S139" s="13"/>
      <c r="T139" s="13"/>
      <c r="U139" s="13"/>
      <c r="V139" s="13"/>
      <c r="W139" s="13"/>
      <c r="X139" s="13"/>
      <c r="Y139" s="13"/>
      <c r="Z139" s="13"/>
      <c r="AA139" s="13"/>
      <c r="AB139" s="13"/>
      <c r="AC139" s="13"/>
    </row>
    <row r="140" spans="1:29" s="3" customFormat="1">
      <c r="A140" s="39"/>
      <c r="B140" s="40"/>
      <c r="C140" s="43"/>
      <c r="R140" s="13"/>
      <c r="S140" s="13"/>
      <c r="T140" s="13"/>
      <c r="U140" s="13"/>
      <c r="V140" s="13"/>
      <c r="W140" s="13"/>
      <c r="X140" s="13"/>
      <c r="Y140" s="13"/>
      <c r="Z140" s="13"/>
      <c r="AA140" s="13"/>
      <c r="AB140" s="13"/>
      <c r="AC140" s="13"/>
    </row>
    <row r="141" spans="1:29" s="3" customFormat="1">
      <c r="A141" s="39"/>
      <c r="B141" s="40"/>
      <c r="C141" s="43"/>
      <c r="R141" s="13"/>
      <c r="S141" s="13"/>
      <c r="T141" s="13"/>
      <c r="U141" s="13"/>
      <c r="V141" s="13"/>
      <c r="W141" s="13"/>
      <c r="X141" s="13"/>
      <c r="Y141" s="13"/>
      <c r="Z141" s="13"/>
      <c r="AA141" s="13"/>
      <c r="AB141" s="13"/>
      <c r="AC141" s="13"/>
    </row>
    <row r="142" spans="1:29" s="3" customFormat="1">
      <c r="A142" s="39"/>
      <c r="B142" s="40"/>
      <c r="C142" s="43"/>
      <c r="R142" s="13"/>
      <c r="S142" s="13"/>
      <c r="T142" s="13"/>
      <c r="U142" s="13"/>
      <c r="V142" s="13"/>
      <c r="W142" s="13"/>
      <c r="X142" s="13"/>
      <c r="Y142" s="13"/>
      <c r="Z142" s="13"/>
      <c r="AA142" s="13"/>
      <c r="AB142" s="13"/>
      <c r="AC142" s="13"/>
    </row>
    <row r="143" spans="1:29" s="3" customFormat="1">
      <c r="A143" s="39"/>
      <c r="B143" s="40"/>
      <c r="C143" s="43"/>
      <c r="R143" s="13"/>
      <c r="S143" s="13"/>
      <c r="T143" s="13"/>
      <c r="U143" s="13"/>
      <c r="V143" s="13"/>
      <c r="W143" s="13"/>
      <c r="X143" s="13"/>
      <c r="Y143" s="13"/>
      <c r="Z143" s="13"/>
      <c r="AA143" s="13"/>
      <c r="AB143" s="13"/>
      <c r="AC143" s="13"/>
    </row>
    <row r="144" spans="1:29" s="3" customFormat="1">
      <c r="A144" s="39"/>
      <c r="B144" s="40"/>
      <c r="C144" s="43"/>
      <c r="R144" s="13"/>
      <c r="S144" s="13"/>
      <c r="T144" s="13"/>
      <c r="U144" s="13"/>
      <c r="V144" s="13"/>
      <c r="W144" s="13"/>
      <c r="X144" s="13"/>
      <c r="Y144" s="13"/>
      <c r="Z144" s="13"/>
      <c r="AA144" s="13"/>
      <c r="AB144" s="13"/>
      <c r="AC144" s="13"/>
    </row>
    <row r="145" spans="1:29" s="3" customFormat="1">
      <c r="A145" s="39"/>
      <c r="B145" s="40"/>
      <c r="C145" s="43"/>
      <c r="R145" s="13"/>
      <c r="S145" s="13"/>
      <c r="T145" s="13"/>
      <c r="U145" s="13"/>
      <c r="V145" s="13"/>
      <c r="W145" s="13"/>
      <c r="X145" s="13"/>
      <c r="Y145" s="13"/>
      <c r="Z145" s="13"/>
      <c r="AA145" s="13"/>
      <c r="AB145" s="13"/>
      <c r="AC145" s="13"/>
    </row>
    <row r="146" spans="1:29" s="3" customFormat="1">
      <c r="A146" s="39"/>
      <c r="B146" s="40"/>
      <c r="C146" s="43"/>
      <c r="R146" s="13"/>
      <c r="S146" s="13"/>
      <c r="T146" s="13"/>
      <c r="U146" s="13"/>
      <c r="V146" s="13"/>
      <c r="W146" s="13"/>
      <c r="X146" s="13"/>
      <c r="Y146" s="13"/>
      <c r="Z146" s="13"/>
      <c r="AA146" s="13"/>
      <c r="AB146" s="13"/>
      <c r="AC146" s="13"/>
    </row>
    <row r="147" spans="1:29" s="3" customFormat="1">
      <c r="A147" s="39"/>
      <c r="B147" s="40"/>
      <c r="C147" s="43"/>
      <c r="R147" s="13"/>
      <c r="S147" s="13"/>
      <c r="T147" s="13"/>
      <c r="U147" s="13"/>
      <c r="V147" s="13"/>
      <c r="W147" s="13"/>
      <c r="X147" s="13"/>
      <c r="Y147" s="13"/>
      <c r="Z147" s="13"/>
      <c r="AA147" s="13"/>
      <c r="AB147" s="13"/>
      <c r="AC147" s="13"/>
    </row>
    <row r="148" spans="1:29" s="3" customFormat="1">
      <c r="A148" s="39"/>
      <c r="B148" s="40"/>
      <c r="C148" s="43"/>
      <c r="R148" s="13"/>
      <c r="S148" s="13"/>
      <c r="T148" s="13"/>
      <c r="U148" s="13"/>
      <c r="V148" s="13"/>
      <c r="W148" s="13"/>
      <c r="X148" s="13"/>
      <c r="Y148" s="13"/>
      <c r="Z148" s="13"/>
      <c r="AA148" s="13"/>
      <c r="AB148" s="13"/>
      <c r="AC148" s="13"/>
    </row>
    <row r="149" spans="1:29" s="3" customFormat="1">
      <c r="A149" s="39"/>
      <c r="B149" s="40"/>
      <c r="C149" s="43"/>
      <c r="R149" s="13"/>
      <c r="S149" s="13"/>
      <c r="T149" s="13"/>
      <c r="U149" s="13"/>
      <c r="V149" s="13"/>
      <c r="W149" s="13"/>
      <c r="X149" s="13"/>
      <c r="Y149" s="13"/>
      <c r="Z149" s="13"/>
      <c r="AA149" s="13"/>
      <c r="AB149" s="13"/>
      <c r="AC149" s="13"/>
    </row>
    <row r="150" spans="1:29" s="3" customFormat="1">
      <c r="A150" s="39"/>
      <c r="B150" s="40"/>
      <c r="C150" s="43"/>
      <c r="R150" s="13"/>
      <c r="S150" s="13"/>
      <c r="T150" s="13"/>
      <c r="U150" s="13"/>
      <c r="V150" s="13"/>
      <c r="W150" s="13"/>
      <c r="X150" s="13"/>
      <c r="Y150" s="13"/>
      <c r="Z150" s="13"/>
      <c r="AA150" s="13"/>
      <c r="AB150" s="13"/>
      <c r="AC150" s="13"/>
    </row>
    <row r="151" spans="1:29" s="3" customFormat="1">
      <c r="A151" s="39"/>
      <c r="B151" s="40"/>
      <c r="C151" s="43"/>
      <c r="R151" s="13"/>
      <c r="S151" s="13"/>
      <c r="T151" s="13"/>
      <c r="U151" s="13"/>
      <c r="V151" s="13"/>
      <c r="W151" s="13"/>
      <c r="X151" s="13"/>
      <c r="Y151" s="13"/>
      <c r="Z151" s="13"/>
      <c r="AA151" s="13"/>
      <c r="AB151" s="13"/>
      <c r="AC151" s="13"/>
    </row>
    <row r="152" spans="1:29" s="3" customFormat="1">
      <c r="A152" s="39"/>
      <c r="B152" s="40"/>
      <c r="C152" s="43"/>
      <c r="R152" s="13"/>
      <c r="S152" s="13"/>
      <c r="T152" s="13"/>
      <c r="U152" s="13"/>
      <c r="V152" s="13"/>
      <c r="W152" s="13"/>
      <c r="X152" s="13"/>
      <c r="Y152" s="13"/>
      <c r="Z152" s="13"/>
      <c r="AA152" s="13"/>
      <c r="AB152" s="13"/>
      <c r="AC152" s="13"/>
    </row>
    <row r="153" spans="1:29" s="3" customFormat="1">
      <c r="A153" s="39"/>
      <c r="B153" s="40"/>
      <c r="C153" s="43"/>
      <c r="R153" s="13"/>
      <c r="S153" s="13"/>
      <c r="T153" s="13"/>
      <c r="U153" s="13"/>
      <c r="V153" s="13"/>
      <c r="W153" s="13"/>
      <c r="X153" s="13"/>
      <c r="Y153" s="13"/>
      <c r="Z153" s="13"/>
      <c r="AA153" s="13"/>
      <c r="AB153" s="13"/>
      <c r="AC153" s="13"/>
    </row>
    <row r="154" spans="1:29" s="3" customFormat="1">
      <c r="A154" s="39"/>
      <c r="B154" s="40"/>
      <c r="C154" s="43"/>
      <c r="R154" s="13"/>
      <c r="S154" s="13"/>
      <c r="T154" s="13"/>
      <c r="U154" s="13"/>
      <c r="V154" s="13"/>
      <c r="W154" s="13"/>
      <c r="X154" s="13"/>
      <c r="Y154" s="13"/>
      <c r="Z154" s="13"/>
      <c r="AA154" s="13"/>
      <c r="AB154" s="13"/>
      <c r="AC154" s="13"/>
    </row>
    <row r="155" spans="1:29" s="3" customFormat="1">
      <c r="A155" s="39"/>
      <c r="B155" s="40"/>
      <c r="C155" s="43"/>
      <c r="R155" s="13"/>
      <c r="S155" s="13"/>
      <c r="T155" s="13"/>
      <c r="U155" s="13"/>
      <c r="V155" s="13"/>
      <c r="W155" s="13"/>
      <c r="X155" s="13"/>
      <c r="Y155" s="13"/>
      <c r="Z155" s="13"/>
      <c r="AA155" s="13"/>
      <c r="AB155" s="13"/>
      <c r="AC155" s="13"/>
    </row>
    <row r="156" spans="1:29" s="3" customFormat="1">
      <c r="A156" s="39"/>
      <c r="B156" s="40"/>
      <c r="C156" s="43"/>
      <c r="R156" s="13"/>
      <c r="S156" s="13"/>
      <c r="T156" s="13"/>
      <c r="U156" s="13"/>
      <c r="V156" s="13"/>
      <c r="W156" s="13"/>
      <c r="X156" s="13"/>
      <c r="Y156" s="13"/>
      <c r="Z156" s="13"/>
      <c r="AA156" s="13"/>
      <c r="AB156" s="13"/>
      <c r="AC156" s="13"/>
    </row>
    <row r="157" spans="1:29" s="3" customFormat="1">
      <c r="A157" s="39"/>
      <c r="B157" s="40"/>
      <c r="C157" s="43"/>
      <c r="R157" s="13"/>
      <c r="S157" s="13"/>
      <c r="T157" s="13"/>
      <c r="U157" s="13"/>
      <c r="V157" s="13"/>
      <c r="W157" s="13"/>
      <c r="X157" s="13"/>
      <c r="Y157" s="13"/>
      <c r="Z157" s="13"/>
      <c r="AA157" s="13"/>
      <c r="AB157" s="13"/>
      <c r="AC157" s="13"/>
    </row>
    <row r="158" spans="1:29" s="3" customFormat="1">
      <c r="A158" s="39"/>
      <c r="B158" s="40"/>
      <c r="C158" s="43"/>
      <c r="R158" s="13"/>
      <c r="S158" s="13"/>
      <c r="T158" s="13"/>
      <c r="U158" s="13"/>
      <c r="V158" s="13"/>
      <c r="W158" s="13"/>
      <c r="X158" s="13"/>
      <c r="Y158" s="13"/>
      <c r="Z158" s="13"/>
      <c r="AA158" s="13"/>
      <c r="AB158" s="13"/>
      <c r="AC158" s="13"/>
    </row>
    <row r="159" spans="1:29" s="3" customFormat="1">
      <c r="A159" s="39"/>
      <c r="B159" s="40"/>
      <c r="C159" s="43"/>
      <c r="R159" s="13"/>
      <c r="S159" s="13"/>
      <c r="T159" s="13"/>
      <c r="U159" s="13"/>
      <c r="V159" s="13"/>
      <c r="W159" s="13"/>
      <c r="X159" s="13"/>
      <c r="Y159" s="13"/>
      <c r="Z159" s="13"/>
      <c r="AA159" s="13"/>
      <c r="AB159" s="13"/>
      <c r="AC159" s="13"/>
    </row>
    <row r="160" spans="1:29" s="3" customFormat="1">
      <c r="A160" s="39"/>
      <c r="B160" s="40"/>
      <c r="C160" s="43"/>
      <c r="R160" s="13"/>
      <c r="S160" s="13"/>
      <c r="T160" s="13"/>
      <c r="U160" s="13"/>
      <c r="V160" s="13"/>
      <c r="W160" s="13"/>
      <c r="X160" s="13"/>
      <c r="Y160" s="13"/>
      <c r="Z160" s="13"/>
      <c r="AA160" s="13"/>
      <c r="AB160" s="13"/>
      <c r="AC160" s="13"/>
    </row>
    <row r="161" spans="1:29" s="3" customFormat="1">
      <c r="A161" s="39"/>
      <c r="B161" s="40"/>
      <c r="C161" s="43"/>
      <c r="R161" s="13"/>
      <c r="S161" s="13"/>
      <c r="T161" s="13"/>
      <c r="U161" s="13"/>
      <c r="V161" s="13"/>
      <c r="W161" s="13"/>
      <c r="X161" s="13"/>
      <c r="Y161" s="13"/>
      <c r="Z161" s="13"/>
      <c r="AA161" s="13"/>
      <c r="AB161" s="13"/>
      <c r="AC161" s="13"/>
    </row>
    <row r="162" spans="1:29" s="3" customFormat="1">
      <c r="A162" s="39"/>
      <c r="B162" s="40"/>
      <c r="C162" s="43"/>
      <c r="R162" s="13"/>
      <c r="S162" s="13"/>
      <c r="T162" s="13"/>
      <c r="U162" s="13"/>
      <c r="V162" s="13"/>
      <c r="W162" s="13"/>
      <c r="X162" s="13"/>
      <c r="Y162" s="13"/>
      <c r="Z162" s="13"/>
      <c r="AA162" s="13"/>
      <c r="AB162" s="13"/>
      <c r="AC162" s="13"/>
    </row>
    <row r="163" spans="1:29" s="3" customFormat="1">
      <c r="A163" s="39"/>
      <c r="B163" s="40"/>
      <c r="C163" s="43"/>
      <c r="R163" s="13"/>
      <c r="S163" s="13"/>
      <c r="T163" s="13"/>
      <c r="U163" s="13"/>
      <c r="V163" s="13"/>
      <c r="W163" s="13"/>
      <c r="X163" s="13"/>
      <c r="Y163" s="13"/>
      <c r="Z163" s="13"/>
      <c r="AA163" s="13"/>
      <c r="AB163" s="13"/>
      <c r="AC163" s="13"/>
    </row>
    <row r="164" spans="1:29" s="3" customFormat="1">
      <c r="A164" s="39"/>
      <c r="B164" s="40"/>
      <c r="C164" s="43"/>
      <c r="R164" s="13"/>
      <c r="S164" s="13"/>
      <c r="T164" s="13"/>
      <c r="U164" s="13"/>
      <c r="V164" s="13"/>
      <c r="W164" s="13"/>
      <c r="X164" s="13"/>
      <c r="Y164" s="13"/>
      <c r="Z164" s="13"/>
      <c r="AA164" s="13"/>
      <c r="AB164" s="13"/>
      <c r="AC164" s="13"/>
    </row>
    <row r="165" spans="1:29" s="3" customFormat="1">
      <c r="A165" s="39"/>
      <c r="B165" s="40"/>
      <c r="C165" s="43"/>
      <c r="R165" s="13"/>
      <c r="S165" s="13"/>
      <c r="T165" s="13"/>
      <c r="U165" s="13"/>
      <c r="V165" s="13"/>
      <c r="W165" s="13"/>
      <c r="X165" s="13"/>
      <c r="Y165" s="13"/>
      <c r="Z165" s="13"/>
      <c r="AA165" s="13"/>
      <c r="AB165" s="13"/>
      <c r="AC165" s="13"/>
    </row>
    <row r="166" spans="1:29" s="3" customFormat="1">
      <c r="A166" s="39"/>
      <c r="B166" s="40"/>
      <c r="C166" s="43"/>
      <c r="R166" s="13"/>
      <c r="S166" s="13"/>
      <c r="T166" s="13"/>
      <c r="U166" s="13"/>
      <c r="V166" s="13"/>
      <c r="W166" s="13"/>
      <c r="X166" s="13"/>
      <c r="Y166" s="13"/>
      <c r="Z166" s="13"/>
      <c r="AA166" s="13"/>
      <c r="AB166" s="13"/>
      <c r="AC166" s="13"/>
    </row>
    <row r="167" spans="1:29" s="3" customFormat="1">
      <c r="A167" s="39"/>
      <c r="B167" s="40"/>
      <c r="C167" s="43"/>
      <c r="R167" s="13"/>
      <c r="S167" s="13"/>
      <c r="T167" s="13"/>
      <c r="U167" s="13"/>
      <c r="V167" s="13"/>
      <c r="W167" s="13"/>
      <c r="X167" s="13"/>
      <c r="Y167" s="13"/>
      <c r="Z167" s="13"/>
      <c r="AA167" s="13"/>
      <c r="AB167" s="13"/>
      <c r="AC167" s="13"/>
    </row>
    <row r="168" spans="1:29" s="3" customFormat="1">
      <c r="A168" s="39"/>
      <c r="B168" s="40"/>
      <c r="C168" s="43"/>
      <c r="R168" s="13"/>
      <c r="S168" s="13"/>
      <c r="T168" s="13"/>
      <c r="U168" s="13"/>
      <c r="V168" s="13"/>
      <c r="W168" s="13"/>
      <c r="X168" s="13"/>
      <c r="Y168" s="13"/>
      <c r="Z168" s="13"/>
      <c r="AA168" s="13"/>
      <c r="AB168" s="13"/>
      <c r="AC168" s="13"/>
    </row>
    <row r="169" spans="1:29" s="3" customFormat="1">
      <c r="A169" s="39"/>
      <c r="B169" s="40"/>
      <c r="C169" s="43"/>
      <c r="R169" s="13"/>
      <c r="S169" s="13"/>
      <c r="T169" s="13"/>
      <c r="U169" s="13"/>
      <c r="V169" s="13"/>
      <c r="W169" s="13"/>
      <c r="X169" s="13"/>
      <c r="Y169" s="13"/>
      <c r="Z169" s="13"/>
      <c r="AA169" s="13"/>
      <c r="AB169" s="13"/>
      <c r="AC169" s="13"/>
    </row>
    <row r="170" spans="1:29" s="3" customFormat="1">
      <c r="A170" s="39"/>
      <c r="B170" s="40"/>
      <c r="C170" s="43"/>
      <c r="R170" s="13"/>
      <c r="S170" s="13"/>
      <c r="T170" s="13"/>
      <c r="U170" s="13"/>
      <c r="V170" s="13"/>
      <c r="W170" s="13"/>
      <c r="X170" s="13"/>
      <c r="Y170" s="13"/>
      <c r="Z170" s="13"/>
      <c r="AA170" s="13"/>
      <c r="AB170" s="13"/>
      <c r="AC170" s="13"/>
    </row>
    <row r="171" spans="1:29" s="3" customFormat="1">
      <c r="A171" s="39"/>
      <c r="B171" s="40"/>
      <c r="C171" s="43"/>
      <c r="R171" s="13"/>
      <c r="S171" s="13"/>
      <c r="T171" s="13"/>
      <c r="U171" s="13"/>
      <c r="V171" s="13"/>
      <c r="W171" s="13"/>
      <c r="X171" s="13"/>
      <c r="Y171" s="13"/>
      <c r="Z171" s="13"/>
      <c r="AA171" s="13"/>
      <c r="AB171" s="13"/>
      <c r="AC171" s="13"/>
    </row>
    <row r="172" spans="1:29" s="3" customFormat="1">
      <c r="A172" s="39"/>
      <c r="B172" s="40"/>
      <c r="C172" s="43"/>
      <c r="R172" s="13"/>
      <c r="S172" s="13"/>
      <c r="T172" s="13"/>
      <c r="U172" s="13"/>
      <c r="V172" s="13"/>
      <c r="W172" s="13"/>
      <c r="X172" s="13"/>
      <c r="Y172" s="13"/>
      <c r="Z172" s="13"/>
      <c r="AA172" s="13"/>
      <c r="AB172" s="13"/>
      <c r="AC172" s="13"/>
    </row>
    <row r="173" spans="1:29" s="3" customFormat="1">
      <c r="A173" s="39"/>
      <c r="B173" s="40"/>
      <c r="C173" s="43"/>
      <c r="R173" s="13"/>
      <c r="S173" s="13"/>
      <c r="T173" s="13"/>
      <c r="U173" s="13"/>
      <c r="V173" s="13"/>
      <c r="W173" s="13"/>
      <c r="X173" s="13"/>
      <c r="Y173" s="13"/>
      <c r="Z173" s="13"/>
      <c r="AA173" s="13"/>
      <c r="AB173" s="13"/>
      <c r="AC173" s="13"/>
    </row>
    <row r="174" spans="1:29" s="3" customFormat="1">
      <c r="A174" s="39"/>
      <c r="B174" s="40"/>
      <c r="C174" s="43"/>
      <c r="R174" s="13"/>
      <c r="S174" s="13"/>
      <c r="T174" s="13"/>
      <c r="U174" s="13"/>
      <c r="V174" s="13"/>
      <c r="W174" s="13"/>
      <c r="X174" s="13"/>
      <c r="Y174" s="13"/>
      <c r="Z174" s="13"/>
      <c r="AA174" s="13"/>
      <c r="AB174" s="13"/>
      <c r="AC174" s="13"/>
    </row>
    <row r="175" spans="1:29" s="3" customFormat="1">
      <c r="A175" s="39"/>
      <c r="B175" s="40"/>
      <c r="C175" s="43"/>
      <c r="R175" s="13"/>
      <c r="S175" s="13"/>
      <c r="T175" s="13"/>
      <c r="U175" s="13"/>
      <c r="V175" s="13"/>
      <c r="W175" s="13"/>
      <c r="X175" s="13"/>
      <c r="Y175" s="13"/>
      <c r="Z175" s="13"/>
      <c r="AA175" s="13"/>
      <c r="AB175" s="13"/>
      <c r="AC175" s="13"/>
    </row>
    <row r="176" spans="1:29" s="3" customFormat="1">
      <c r="A176" s="39"/>
      <c r="B176" s="40"/>
      <c r="C176" s="43"/>
      <c r="R176" s="13"/>
      <c r="S176" s="13"/>
      <c r="T176" s="13"/>
      <c r="U176" s="13"/>
      <c r="V176" s="13"/>
      <c r="W176" s="13"/>
      <c r="X176" s="13"/>
      <c r="Y176" s="13"/>
      <c r="Z176" s="13"/>
      <c r="AA176" s="13"/>
      <c r="AB176" s="13"/>
      <c r="AC176" s="13"/>
    </row>
    <row r="177" spans="1:29" s="3" customFormat="1">
      <c r="A177" s="39"/>
      <c r="B177" s="40"/>
      <c r="C177" s="43"/>
      <c r="R177" s="13"/>
      <c r="S177" s="13"/>
      <c r="T177" s="13"/>
      <c r="U177" s="13"/>
      <c r="V177" s="13"/>
      <c r="W177" s="13"/>
      <c r="X177" s="13"/>
      <c r="Y177" s="13"/>
      <c r="Z177" s="13"/>
      <c r="AA177" s="13"/>
      <c r="AB177" s="13"/>
      <c r="AC177" s="13"/>
    </row>
    <row r="178" spans="1:29" s="3" customFormat="1">
      <c r="A178" s="39"/>
      <c r="B178" s="40"/>
      <c r="C178" s="43"/>
      <c r="R178" s="13"/>
      <c r="S178" s="13"/>
      <c r="T178" s="13"/>
      <c r="U178" s="13"/>
      <c r="V178" s="13"/>
      <c r="W178" s="13"/>
      <c r="X178" s="13"/>
      <c r="Y178" s="13"/>
      <c r="Z178" s="13"/>
      <c r="AA178" s="13"/>
      <c r="AB178" s="13"/>
      <c r="AC178" s="13"/>
    </row>
    <row r="179" spans="1:29" s="3" customFormat="1">
      <c r="A179" s="39"/>
      <c r="B179" s="40"/>
      <c r="C179" s="43"/>
      <c r="R179" s="13"/>
      <c r="S179" s="13"/>
      <c r="T179" s="13"/>
      <c r="U179" s="13"/>
      <c r="V179" s="13"/>
      <c r="W179" s="13"/>
      <c r="X179" s="13"/>
      <c r="Y179" s="13"/>
      <c r="Z179" s="13"/>
      <c r="AA179" s="13"/>
      <c r="AB179" s="13"/>
      <c r="AC179" s="13"/>
    </row>
    <row r="180" spans="1:29" s="3" customFormat="1">
      <c r="A180" s="39"/>
      <c r="B180" s="40"/>
      <c r="C180" s="43"/>
      <c r="R180" s="13"/>
      <c r="S180" s="13"/>
      <c r="T180" s="13"/>
      <c r="U180" s="13"/>
      <c r="V180" s="13"/>
      <c r="W180" s="13"/>
      <c r="X180" s="13"/>
      <c r="Y180" s="13"/>
      <c r="Z180" s="13"/>
      <c r="AA180" s="13"/>
      <c r="AB180" s="13"/>
      <c r="AC180" s="13"/>
    </row>
    <row r="181" spans="1:29" s="3" customFormat="1">
      <c r="A181" s="39"/>
      <c r="B181" s="40"/>
      <c r="C181" s="43"/>
      <c r="R181" s="13"/>
      <c r="S181" s="13"/>
      <c r="T181" s="13"/>
      <c r="U181" s="13"/>
      <c r="V181" s="13"/>
      <c r="W181" s="13"/>
      <c r="X181" s="13"/>
      <c r="Y181" s="13"/>
      <c r="Z181" s="13"/>
      <c r="AA181" s="13"/>
      <c r="AB181" s="13"/>
      <c r="AC181" s="13"/>
    </row>
    <row r="182" spans="1:29" s="3" customFormat="1">
      <c r="A182" s="39"/>
      <c r="B182" s="40"/>
      <c r="C182" s="43"/>
      <c r="R182" s="13"/>
      <c r="S182" s="13"/>
      <c r="T182" s="13"/>
      <c r="U182" s="13"/>
      <c r="V182" s="13"/>
      <c r="W182" s="13"/>
      <c r="X182" s="13"/>
      <c r="Y182" s="13"/>
      <c r="Z182" s="13"/>
      <c r="AA182" s="13"/>
      <c r="AB182" s="13"/>
      <c r="AC182" s="13"/>
    </row>
    <row r="183" spans="1:29" s="3" customFormat="1">
      <c r="A183" s="39"/>
      <c r="B183" s="40"/>
      <c r="C183" s="43"/>
      <c r="R183" s="13"/>
      <c r="S183" s="13"/>
      <c r="T183" s="13"/>
      <c r="U183" s="13"/>
      <c r="V183" s="13"/>
      <c r="W183" s="13"/>
      <c r="X183" s="13"/>
      <c r="Y183" s="13"/>
      <c r="Z183" s="13"/>
      <c r="AA183" s="13"/>
      <c r="AB183" s="13"/>
      <c r="AC183" s="13"/>
    </row>
    <row r="184" spans="1:29" s="3" customFormat="1">
      <c r="A184" s="39"/>
      <c r="B184" s="40"/>
      <c r="C184" s="43"/>
      <c r="R184" s="13"/>
      <c r="S184" s="13"/>
      <c r="T184" s="13"/>
      <c r="U184" s="13"/>
      <c r="V184" s="13"/>
      <c r="W184" s="13"/>
      <c r="X184" s="13"/>
      <c r="Y184" s="13"/>
      <c r="Z184" s="13"/>
      <c r="AA184" s="13"/>
      <c r="AB184" s="13"/>
      <c r="AC184" s="13"/>
    </row>
    <row r="185" spans="1:29" s="3" customFormat="1">
      <c r="A185" s="39"/>
      <c r="B185" s="40"/>
      <c r="C185" s="43"/>
      <c r="R185" s="13"/>
      <c r="S185" s="13"/>
      <c r="T185" s="13"/>
      <c r="U185" s="13"/>
      <c r="V185" s="13"/>
      <c r="W185" s="13"/>
      <c r="X185" s="13"/>
      <c r="Y185" s="13"/>
      <c r="Z185" s="13"/>
      <c r="AA185" s="13"/>
      <c r="AB185" s="13"/>
      <c r="AC185" s="13"/>
    </row>
    <row r="186" spans="1:29" s="3" customFormat="1">
      <c r="A186" s="39"/>
      <c r="B186" s="40"/>
      <c r="C186" s="43"/>
      <c r="R186" s="13"/>
      <c r="S186" s="13"/>
      <c r="T186" s="13"/>
      <c r="U186" s="13"/>
      <c r="V186" s="13"/>
      <c r="W186" s="13"/>
      <c r="X186" s="13"/>
      <c r="Y186" s="13"/>
      <c r="Z186" s="13"/>
      <c r="AA186" s="13"/>
      <c r="AB186" s="13"/>
      <c r="AC186" s="13"/>
    </row>
    <row r="187" spans="1:29" s="3" customFormat="1">
      <c r="A187" s="39"/>
      <c r="B187" s="40"/>
      <c r="C187" s="43"/>
      <c r="R187" s="13"/>
      <c r="S187" s="13"/>
      <c r="T187" s="13"/>
      <c r="U187" s="13"/>
      <c r="V187" s="13"/>
      <c r="W187" s="13"/>
      <c r="X187" s="13"/>
      <c r="Y187" s="13"/>
      <c r="Z187" s="13"/>
      <c r="AA187" s="13"/>
      <c r="AB187" s="13"/>
      <c r="AC187" s="13"/>
    </row>
    <row r="188" spans="1:29" s="3" customFormat="1">
      <c r="A188" s="39"/>
      <c r="B188" s="40"/>
      <c r="C188" s="43"/>
      <c r="R188" s="13"/>
      <c r="S188" s="13"/>
      <c r="T188" s="13"/>
      <c r="U188" s="13"/>
      <c r="V188" s="13"/>
      <c r="W188" s="13"/>
      <c r="X188" s="13"/>
      <c r="Y188" s="13"/>
      <c r="Z188" s="13"/>
      <c r="AA188" s="13"/>
      <c r="AB188" s="13"/>
      <c r="AC188" s="13"/>
    </row>
    <row r="189" spans="1:29" s="3" customFormat="1">
      <c r="A189" s="39"/>
      <c r="B189" s="40"/>
      <c r="C189" s="43"/>
      <c r="R189" s="13"/>
      <c r="S189" s="13"/>
      <c r="T189" s="13"/>
      <c r="U189" s="13"/>
      <c r="V189" s="13"/>
      <c r="W189" s="13"/>
      <c r="X189" s="13"/>
      <c r="Y189" s="13"/>
      <c r="Z189" s="13"/>
      <c r="AA189" s="13"/>
      <c r="AB189" s="13"/>
      <c r="AC189" s="13"/>
    </row>
    <row r="190" spans="1:29" s="3" customFormat="1">
      <c r="A190" s="39"/>
      <c r="B190" s="40"/>
      <c r="C190" s="43"/>
      <c r="R190" s="13"/>
      <c r="S190" s="13"/>
      <c r="T190" s="13"/>
      <c r="U190" s="13"/>
      <c r="V190" s="13"/>
      <c r="W190" s="13"/>
      <c r="X190" s="13"/>
      <c r="Y190" s="13"/>
      <c r="Z190" s="13"/>
      <c r="AA190" s="13"/>
      <c r="AB190" s="13"/>
      <c r="AC190" s="13"/>
    </row>
    <row r="191" spans="1:29" s="3" customFormat="1">
      <c r="A191" s="39"/>
      <c r="B191" s="40"/>
      <c r="C191" s="43"/>
      <c r="R191" s="13"/>
      <c r="S191" s="13"/>
      <c r="T191" s="13"/>
      <c r="U191" s="13"/>
      <c r="V191" s="13"/>
      <c r="W191" s="13"/>
      <c r="X191" s="13"/>
      <c r="Y191" s="13"/>
      <c r="Z191" s="13"/>
      <c r="AA191" s="13"/>
      <c r="AB191" s="13"/>
      <c r="AC191" s="13"/>
    </row>
    <row r="192" spans="1:29" s="3" customFormat="1">
      <c r="A192" s="39"/>
      <c r="B192" s="40"/>
      <c r="C192" s="43"/>
      <c r="R192" s="13"/>
      <c r="S192" s="13"/>
      <c r="T192" s="13"/>
      <c r="U192" s="13"/>
      <c r="V192" s="13"/>
      <c r="W192" s="13"/>
      <c r="X192" s="13"/>
      <c r="Y192" s="13"/>
      <c r="Z192" s="13"/>
      <c r="AA192" s="13"/>
      <c r="AB192" s="13"/>
      <c r="AC192" s="13"/>
    </row>
    <row r="193" spans="1:29" s="3" customFormat="1">
      <c r="A193" s="39"/>
      <c r="B193" s="40"/>
      <c r="C193" s="43"/>
      <c r="R193" s="13"/>
      <c r="S193" s="13"/>
      <c r="T193" s="13"/>
      <c r="U193" s="13"/>
      <c r="V193" s="13"/>
      <c r="W193" s="13"/>
      <c r="X193" s="13"/>
      <c r="Y193" s="13"/>
      <c r="Z193" s="13"/>
      <c r="AA193" s="13"/>
      <c r="AB193" s="13"/>
      <c r="AC193" s="13"/>
    </row>
    <row r="194" spans="1:29" s="3" customFormat="1">
      <c r="A194" s="39"/>
      <c r="B194" s="40"/>
      <c r="C194" s="43"/>
      <c r="R194" s="13"/>
      <c r="S194" s="13"/>
      <c r="T194" s="13"/>
      <c r="U194" s="13"/>
      <c r="V194" s="13"/>
      <c r="W194" s="13"/>
      <c r="X194" s="13"/>
      <c r="Y194" s="13"/>
      <c r="Z194" s="13"/>
      <c r="AA194" s="13"/>
      <c r="AB194" s="13"/>
      <c r="AC194" s="13"/>
    </row>
    <row r="195" spans="1:29" s="3" customFormat="1">
      <c r="A195" s="39"/>
      <c r="B195" s="40"/>
      <c r="C195" s="43"/>
      <c r="R195" s="13"/>
      <c r="S195" s="13"/>
      <c r="T195" s="13"/>
      <c r="U195" s="13"/>
      <c r="V195" s="13"/>
      <c r="W195" s="13"/>
      <c r="X195" s="13"/>
      <c r="Y195" s="13"/>
      <c r="Z195" s="13"/>
      <c r="AA195" s="13"/>
      <c r="AB195" s="13"/>
      <c r="AC195" s="13"/>
    </row>
    <row r="196" spans="1:29" s="3" customFormat="1">
      <c r="A196" s="39"/>
      <c r="B196" s="40"/>
      <c r="C196" s="43"/>
      <c r="R196" s="13"/>
      <c r="S196" s="13"/>
      <c r="T196" s="13"/>
      <c r="U196" s="13"/>
      <c r="V196" s="13"/>
      <c r="W196" s="13"/>
      <c r="X196" s="13"/>
      <c r="Y196" s="13"/>
      <c r="Z196" s="13"/>
      <c r="AA196" s="13"/>
      <c r="AB196" s="13"/>
      <c r="AC196" s="13"/>
    </row>
    <row r="197" spans="1:29" s="3" customFormat="1">
      <c r="A197" s="39"/>
      <c r="B197" s="40"/>
      <c r="C197" s="43"/>
      <c r="R197" s="13"/>
      <c r="S197" s="13"/>
      <c r="T197" s="13"/>
      <c r="U197" s="13"/>
      <c r="V197" s="13"/>
      <c r="W197" s="13"/>
      <c r="X197" s="13"/>
      <c r="Y197" s="13"/>
      <c r="Z197" s="13"/>
      <c r="AA197" s="13"/>
      <c r="AB197" s="13"/>
      <c r="AC197" s="13"/>
    </row>
    <row r="198" spans="1:29" s="3" customFormat="1">
      <c r="A198" s="39"/>
      <c r="B198" s="40"/>
      <c r="C198" s="43"/>
      <c r="R198" s="13"/>
      <c r="S198" s="13"/>
      <c r="T198" s="13"/>
      <c r="U198" s="13"/>
      <c r="V198" s="13"/>
      <c r="W198" s="13"/>
      <c r="X198" s="13"/>
      <c r="Y198" s="13"/>
      <c r="Z198" s="13"/>
      <c r="AA198" s="13"/>
      <c r="AB198" s="13"/>
      <c r="AC198" s="13"/>
    </row>
    <row r="199" spans="1:29" s="3" customFormat="1">
      <c r="A199" s="39"/>
      <c r="B199" s="40"/>
      <c r="C199" s="43"/>
      <c r="R199" s="13"/>
      <c r="S199" s="13"/>
      <c r="T199" s="13"/>
      <c r="U199" s="13"/>
      <c r="V199" s="13"/>
      <c r="W199" s="13"/>
      <c r="X199" s="13"/>
      <c r="Y199" s="13"/>
      <c r="Z199" s="13"/>
      <c r="AA199" s="13"/>
      <c r="AB199" s="13"/>
      <c r="AC199" s="13"/>
    </row>
    <row r="200" spans="1:29" s="3" customFormat="1">
      <c r="A200" s="39"/>
      <c r="B200" s="40"/>
      <c r="C200" s="43"/>
      <c r="R200" s="13"/>
      <c r="S200" s="13"/>
      <c r="T200" s="13"/>
      <c r="U200" s="13"/>
      <c r="V200" s="13"/>
      <c r="W200" s="13"/>
      <c r="X200" s="13"/>
      <c r="Y200" s="13"/>
      <c r="Z200" s="13"/>
      <c r="AA200" s="13"/>
      <c r="AB200" s="13"/>
      <c r="AC200" s="13"/>
    </row>
    <row r="201" spans="1:29" s="3" customFormat="1">
      <c r="A201" s="39"/>
      <c r="B201" s="40"/>
      <c r="C201" s="43"/>
      <c r="R201" s="13"/>
      <c r="S201" s="13"/>
      <c r="T201" s="13"/>
      <c r="U201" s="13"/>
      <c r="V201" s="13"/>
      <c r="W201" s="13"/>
      <c r="X201" s="13"/>
      <c r="Y201" s="13"/>
      <c r="Z201" s="13"/>
      <c r="AA201" s="13"/>
      <c r="AB201" s="13"/>
      <c r="AC201" s="13"/>
    </row>
    <row r="202" spans="1:29" s="3" customFormat="1">
      <c r="A202" s="39"/>
      <c r="B202" s="40"/>
      <c r="C202" s="43"/>
      <c r="R202" s="13"/>
      <c r="S202" s="13"/>
      <c r="T202" s="13"/>
      <c r="U202" s="13"/>
      <c r="V202" s="13"/>
      <c r="W202" s="13"/>
      <c r="X202" s="13"/>
      <c r="Y202" s="13"/>
      <c r="Z202" s="13"/>
      <c r="AA202" s="13"/>
      <c r="AB202" s="13"/>
      <c r="AC202" s="13"/>
    </row>
    <row r="203" spans="1:29" s="3" customFormat="1">
      <c r="A203" s="39"/>
      <c r="B203" s="40"/>
      <c r="C203" s="43"/>
      <c r="R203" s="13"/>
      <c r="S203" s="13"/>
      <c r="T203" s="13"/>
      <c r="U203" s="13"/>
      <c r="V203" s="13"/>
      <c r="W203" s="13"/>
      <c r="X203" s="13"/>
      <c r="Y203" s="13"/>
      <c r="Z203" s="13"/>
      <c r="AA203" s="13"/>
      <c r="AB203" s="13"/>
      <c r="AC203" s="13"/>
    </row>
    <row r="204" spans="1:29" s="3" customFormat="1">
      <c r="A204" s="39"/>
      <c r="B204" s="40"/>
      <c r="C204" s="43"/>
      <c r="R204" s="13"/>
      <c r="S204" s="13"/>
      <c r="T204" s="13"/>
      <c r="U204" s="13"/>
      <c r="V204" s="13"/>
      <c r="W204" s="13"/>
      <c r="X204" s="13"/>
      <c r="Y204" s="13"/>
      <c r="Z204" s="13"/>
      <c r="AA204" s="13"/>
      <c r="AB204" s="13"/>
      <c r="AC204" s="13"/>
    </row>
    <row r="205" spans="1:29" s="3" customFormat="1">
      <c r="A205" s="39"/>
      <c r="B205" s="40"/>
      <c r="C205" s="43"/>
      <c r="R205" s="13"/>
      <c r="S205" s="13"/>
      <c r="T205" s="13"/>
      <c r="U205" s="13"/>
      <c r="V205" s="13"/>
      <c r="W205" s="13"/>
      <c r="X205" s="13"/>
      <c r="Y205" s="13"/>
      <c r="Z205" s="13"/>
      <c r="AA205" s="13"/>
      <c r="AB205" s="13"/>
      <c r="AC205" s="13"/>
    </row>
    <row r="206" spans="1:29" s="3" customFormat="1">
      <c r="A206" s="39"/>
      <c r="B206" s="40"/>
      <c r="C206" s="43"/>
      <c r="R206" s="13"/>
      <c r="S206" s="13"/>
      <c r="T206" s="13"/>
      <c r="U206" s="13"/>
      <c r="V206" s="13"/>
      <c r="W206" s="13"/>
      <c r="X206" s="13"/>
      <c r="Y206" s="13"/>
      <c r="Z206" s="13"/>
      <c r="AA206" s="13"/>
      <c r="AB206" s="13"/>
      <c r="AC206" s="13"/>
    </row>
    <row r="207" spans="1:29" s="3" customFormat="1">
      <c r="A207" s="39"/>
      <c r="B207" s="40"/>
      <c r="C207" s="43"/>
      <c r="R207" s="13"/>
      <c r="S207" s="13"/>
      <c r="T207" s="13"/>
      <c r="U207" s="13"/>
      <c r="V207" s="13"/>
      <c r="W207" s="13"/>
      <c r="X207" s="13"/>
      <c r="Y207" s="13"/>
      <c r="Z207" s="13"/>
      <c r="AA207" s="13"/>
      <c r="AB207" s="13"/>
      <c r="AC207" s="13"/>
    </row>
    <row r="208" spans="1:29" s="3" customFormat="1">
      <c r="A208" s="39"/>
      <c r="B208" s="40"/>
      <c r="C208" s="43"/>
      <c r="R208" s="13"/>
      <c r="S208" s="13"/>
      <c r="T208" s="13"/>
      <c r="U208" s="13"/>
      <c r="V208" s="13"/>
      <c r="W208" s="13"/>
      <c r="X208" s="13"/>
      <c r="Y208" s="13"/>
      <c r="Z208" s="13"/>
      <c r="AA208" s="13"/>
      <c r="AB208" s="13"/>
      <c r="AC208" s="13"/>
    </row>
    <row r="209" spans="1:29" s="3" customFormat="1">
      <c r="A209" s="39"/>
      <c r="B209" s="40"/>
      <c r="C209" s="43"/>
      <c r="R209" s="13"/>
      <c r="S209" s="13"/>
      <c r="T209" s="13"/>
      <c r="U209" s="13"/>
      <c r="V209" s="13"/>
      <c r="W209" s="13"/>
      <c r="X209" s="13"/>
      <c r="Y209" s="13"/>
      <c r="Z209" s="13"/>
      <c r="AA209" s="13"/>
      <c r="AB209" s="13"/>
      <c r="AC209" s="13"/>
    </row>
    <row r="210" spans="1:29" s="3" customFormat="1">
      <c r="A210" s="39"/>
      <c r="B210" s="40"/>
      <c r="C210" s="43"/>
      <c r="R210" s="13"/>
      <c r="S210" s="13"/>
      <c r="T210" s="13"/>
      <c r="U210" s="13"/>
      <c r="V210" s="13"/>
      <c r="W210" s="13"/>
      <c r="X210" s="13"/>
      <c r="Y210" s="13"/>
      <c r="Z210" s="13"/>
      <c r="AA210" s="13"/>
      <c r="AB210" s="13"/>
      <c r="AC210" s="13"/>
    </row>
    <row r="211" spans="1:29" s="3" customFormat="1">
      <c r="A211" s="39"/>
      <c r="B211" s="40"/>
      <c r="C211" s="43"/>
      <c r="R211" s="13"/>
      <c r="S211" s="13"/>
      <c r="T211" s="13"/>
      <c r="U211" s="13"/>
      <c r="V211" s="13"/>
      <c r="W211" s="13"/>
      <c r="X211" s="13"/>
      <c r="Y211" s="13"/>
      <c r="Z211" s="13"/>
      <c r="AA211" s="13"/>
      <c r="AB211" s="13"/>
      <c r="AC211" s="13"/>
    </row>
    <row r="212" spans="1:29" s="3" customFormat="1">
      <c r="A212" s="39"/>
      <c r="B212" s="40"/>
      <c r="C212" s="43"/>
      <c r="R212" s="13"/>
      <c r="S212" s="13"/>
      <c r="T212" s="13"/>
      <c r="U212" s="13"/>
      <c r="V212" s="13"/>
      <c r="W212" s="13"/>
      <c r="X212" s="13"/>
      <c r="Y212" s="13"/>
      <c r="Z212" s="13"/>
      <c r="AA212" s="13"/>
      <c r="AB212" s="13"/>
      <c r="AC212" s="13"/>
    </row>
    <row r="213" spans="1:29" s="3" customFormat="1">
      <c r="A213" s="39"/>
      <c r="B213" s="40"/>
      <c r="C213" s="43"/>
      <c r="R213" s="13"/>
      <c r="S213" s="13"/>
      <c r="T213" s="13"/>
      <c r="U213" s="13"/>
      <c r="V213" s="13"/>
      <c r="W213" s="13"/>
      <c r="X213" s="13"/>
      <c r="Y213" s="13"/>
      <c r="Z213" s="13"/>
      <c r="AA213" s="13"/>
      <c r="AB213" s="13"/>
      <c r="AC213" s="13"/>
    </row>
    <row r="214" spans="1:29" s="3" customFormat="1">
      <c r="A214" s="39"/>
      <c r="B214" s="40"/>
      <c r="C214" s="43"/>
      <c r="R214" s="13"/>
      <c r="S214" s="13"/>
      <c r="T214" s="13"/>
      <c r="U214" s="13"/>
      <c r="V214" s="13"/>
      <c r="W214" s="13"/>
      <c r="X214" s="13"/>
      <c r="Y214" s="13"/>
      <c r="Z214" s="13"/>
      <c r="AA214" s="13"/>
      <c r="AB214" s="13"/>
      <c r="AC214" s="13"/>
    </row>
    <row r="215" spans="1:29" s="3" customFormat="1">
      <c r="A215" s="39"/>
      <c r="B215" s="40"/>
      <c r="C215" s="43"/>
      <c r="R215" s="13"/>
      <c r="S215" s="13"/>
      <c r="T215" s="13"/>
      <c r="U215" s="13"/>
      <c r="V215" s="13"/>
      <c r="W215" s="13"/>
      <c r="X215" s="13"/>
      <c r="Y215" s="13"/>
      <c r="Z215" s="13"/>
      <c r="AA215" s="13"/>
      <c r="AB215" s="13"/>
      <c r="AC215" s="13"/>
    </row>
    <row r="216" spans="1:29" s="3" customFormat="1">
      <c r="A216" s="39"/>
      <c r="B216" s="40"/>
      <c r="C216" s="43"/>
      <c r="R216" s="13"/>
      <c r="S216" s="13"/>
      <c r="T216" s="13"/>
      <c r="U216" s="13"/>
      <c r="V216" s="13"/>
      <c r="W216" s="13"/>
      <c r="X216" s="13"/>
      <c r="Y216" s="13"/>
      <c r="Z216" s="13"/>
      <c r="AA216" s="13"/>
      <c r="AB216" s="13"/>
      <c r="AC216" s="13"/>
    </row>
    <row r="217" spans="1:29" s="3" customFormat="1">
      <c r="A217" s="39"/>
      <c r="B217" s="40"/>
      <c r="C217" s="43"/>
      <c r="R217" s="13"/>
      <c r="S217" s="13"/>
      <c r="T217" s="13"/>
      <c r="U217" s="13"/>
      <c r="V217" s="13"/>
      <c r="W217" s="13"/>
      <c r="X217" s="13"/>
      <c r="Y217" s="13"/>
      <c r="Z217" s="13"/>
      <c r="AA217" s="13"/>
      <c r="AB217" s="13"/>
      <c r="AC217" s="13"/>
    </row>
    <row r="218" spans="1:29" s="3" customFormat="1">
      <c r="A218" s="39"/>
      <c r="B218" s="40"/>
      <c r="C218" s="43"/>
      <c r="R218" s="13"/>
      <c r="S218" s="13"/>
      <c r="T218" s="13"/>
      <c r="U218" s="13"/>
      <c r="V218" s="13"/>
      <c r="W218" s="13"/>
      <c r="X218" s="13"/>
      <c r="Y218" s="13"/>
      <c r="Z218" s="13"/>
      <c r="AA218" s="13"/>
      <c r="AB218" s="13"/>
      <c r="AC218" s="13"/>
    </row>
    <row r="219" spans="1:29" s="3" customFormat="1">
      <c r="A219" s="39"/>
      <c r="B219" s="40"/>
      <c r="C219" s="43"/>
      <c r="R219" s="13"/>
      <c r="S219" s="13"/>
      <c r="T219" s="13"/>
      <c r="U219" s="13"/>
      <c r="V219" s="13"/>
      <c r="W219" s="13"/>
      <c r="X219" s="13"/>
      <c r="Y219" s="13"/>
      <c r="Z219" s="13"/>
      <c r="AA219" s="13"/>
      <c r="AB219" s="13"/>
      <c r="AC219" s="13"/>
    </row>
    <row r="220" spans="1:29" s="3" customFormat="1">
      <c r="A220" s="39"/>
      <c r="B220" s="40"/>
      <c r="C220" s="43"/>
      <c r="R220" s="13"/>
      <c r="S220" s="13"/>
      <c r="T220" s="13"/>
      <c r="U220" s="13"/>
      <c r="V220" s="13"/>
      <c r="W220" s="13"/>
      <c r="X220" s="13"/>
      <c r="Y220" s="13"/>
      <c r="Z220" s="13"/>
      <c r="AA220" s="13"/>
      <c r="AB220" s="13"/>
      <c r="AC220" s="13"/>
    </row>
    <row r="221" spans="1:29" s="3" customFormat="1">
      <c r="A221" s="39"/>
      <c r="B221" s="40"/>
      <c r="C221" s="43"/>
      <c r="R221" s="13"/>
      <c r="S221" s="13"/>
      <c r="T221" s="13"/>
      <c r="U221" s="13"/>
      <c r="V221" s="13"/>
      <c r="W221" s="13"/>
      <c r="X221" s="13"/>
      <c r="Y221" s="13"/>
      <c r="Z221" s="13"/>
      <c r="AA221" s="13"/>
      <c r="AB221" s="13"/>
      <c r="AC221" s="13"/>
    </row>
    <row r="222" spans="1:29" s="3" customFormat="1">
      <c r="A222" s="39"/>
      <c r="B222" s="40"/>
      <c r="C222" s="43"/>
      <c r="R222" s="13"/>
      <c r="S222" s="13"/>
      <c r="T222" s="13"/>
      <c r="U222" s="13"/>
      <c r="V222" s="13"/>
      <c r="W222" s="13"/>
      <c r="X222" s="13"/>
      <c r="Y222" s="13"/>
      <c r="Z222" s="13"/>
      <c r="AA222" s="13"/>
      <c r="AB222" s="13"/>
      <c r="AC222" s="13"/>
    </row>
    <row r="223" spans="1:29" s="3" customFormat="1">
      <c r="A223" s="39"/>
      <c r="B223" s="40"/>
      <c r="C223" s="43"/>
      <c r="R223" s="13"/>
      <c r="S223" s="13"/>
      <c r="T223" s="13"/>
      <c r="U223" s="13"/>
      <c r="V223" s="13"/>
      <c r="W223" s="13"/>
      <c r="X223" s="13"/>
      <c r="Y223" s="13"/>
      <c r="Z223" s="13"/>
      <c r="AA223" s="13"/>
      <c r="AB223" s="13"/>
      <c r="AC223" s="13"/>
    </row>
    <row r="224" spans="1:29" s="3" customFormat="1">
      <c r="A224" s="39"/>
      <c r="B224" s="40"/>
      <c r="C224" s="43"/>
      <c r="R224" s="13"/>
      <c r="S224" s="13"/>
      <c r="T224" s="13"/>
      <c r="U224" s="13"/>
      <c r="V224" s="13"/>
      <c r="W224" s="13"/>
      <c r="X224" s="13"/>
      <c r="Y224" s="13"/>
      <c r="Z224" s="13"/>
      <c r="AA224" s="13"/>
      <c r="AB224" s="13"/>
      <c r="AC224" s="13"/>
    </row>
    <row r="225" spans="1:29" s="3" customFormat="1">
      <c r="A225" s="39"/>
      <c r="B225" s="40"/>
      <c r="C225" s="43"/>
      <c r="R225" s="13"/>
      <c r="S225" s="13"/>
      <c r="T225" s="13"/>
      <c r="U225" s="13"/>
      <c r="V225" s="13"/>
      <c r="W225" s="13"/>
      <c r="X225" s="13"/>
      <c r="Y225" s="13"/>
      <c r="Z225" s="13"/>
      <c r="AA225" s="13"/>
      <c r="AB225" s="13"/>
      <c r="AC225" s="13"/>
    </row>
    <row r="226" spans="1:29" s="3" customFormat="1">
      <c r="A226" s="39"/>
      <c r="B226" s="40"/>
      <c r="C226" s="43"/>
      <c r="R226" s="13"/>
      <c r="S226" s="13"/>
      <c r="T226" s="13"/>
      <c r="U226" s="13"/>
      <c r="V226" s="13"/>
      <c r="W226" s="13"/>
      <c r="X226" s="13"/>
      <c r="Y226" s="13"/>
      <c r="Z226" s="13"/>
      <c r="AA226" s="13"/>
      <c r="AB226" s="13"/>
      <c r="AC226" s="13"/>
    </row>
    <row r="227" spans="1:29" s="3" customFormat="1">
      <c r="A227" s="39"/>
      <c r="B227" s="40"/>
      <c r="C227" s="43"/>
      <c r="R227" s="13"/>
      <c r="S227" s="13"/>
      <c r="T227" s="13"/>
      <c r="U227" s="13"/>
      <c r="V227" s="13"/>
      <c r="W227" s="13"/>
      <c r="X227" s="13"/>
      <c r="Y227" s="13"/>
      <c r="Z227" s="13"/>
      <c r="AA227" s="13"/>
      <c r="AB227" s="13"/>
      <c r="AC227" s="13"/>
    </row>
    <row r="228" spans="1:29" s="3" customFormat="1">
      <c r="A228" s="39"/>
      <c r="B228" s="40"/>
      <c r="C228" s="43"/>
      <c r="R228" s="13"/>
      <c r="S228" s="13"/>
      <c r="T228" s="13"/>
      <c r="U228" s="13"/>
      <c r="V228" s="13"/>
      <c r="W228" s="13"/>
      <c r="X228" s="13"/>
      <c r="Y228" s="13"/>
      <c r="Z228" s="13"/>
      <c r="AA228" s="13"/>
      <c r="AB228" s="13"/>
      <c r="AC228" s="13"/>
    </row>
    <row r="229" spans="1:29" s="3" customFormat="1">
      <c r="A229" s="39"/>
      <c r="B229" s="40"/>
      <c r="C229" s="43"/>
      <c r="R229" s="13"/>
      <c r="S229" s="13"/>
      <c r="T229" s="13"/>
      <c r="U229" s="13"/>
      <c r="V229" s="13"/>
      <c r="W229" s="13"/>
      <c r="X229" s="13"/>
      <c r="Y229" s="13"/>
      <c r="Z229" s="13"/>
      <c r="AA229" s="13"/>
      <c r="AB229" s="13"/>
      <c r="AC229" s="13"/>
    </row>
    <row r="230" spans="1:29" s="3" customFormat="1">
      <c r="A230" s="39"/>
      <c r="B230" s="40"/>
      <c r="C230" s="43"/>
      <c r="R230" s="13"/>
      <c r="S230" s="13"/>
      <c r="T230" s="13"/>
      <c r="U230" s="13"/>
      <c r="V230" s="13"/>
      <c r="W230" s="13"/>
      <c r="X230" s="13"/>
      <c r="Y230" s="13"/>
      <c r="Z230" s="13"/>
      <c r="AA230" s="13"/>
      <c r="AB230" s="13"/>
      <c r="AC230" s="13"/>
    </row>
    <row r="231" spans="1:29" s="3" customFormat="1">
      <c r="A231" s="39"/>
      <c r="B231" s="40"/>
      <c r="C231" s="43"/>
      <c r="R231" s="13"/>
      <c r="S231" s="13"/>
      <c r="T231" s="13"/>
      <c r="U231" s="13"/>
      <c r="V231" s="13"/>
      <c r="W231" s="13"/>
      <c r="X231" s="13"/>
      <c r="Y231" s="13"/>
      <c r="Z231" s="13"/>
      <c r="AA231" s="13"/>
      <c r="AB231" s="13"/>
      <c r="AC231" s="13"/>
    </row>
    <row r="232" spans="1:29" s="3" customFormat="1">
      <c r="A232" s="39"/>
      <c r="B232" s="40"/>
      <c r="C232" s="43"/>
      <c r="R232" s="13"/>
      <c r="S232" s="13"/>
      <c r="T232" s="13"/>
      <c r="U232" s="13"/>
      <c r="V232" s="13"/>
      <c r="W232" s="13"/>
      <c r="X232" s="13"/>
      <c r="Y232" s="13"/>
      <c r="Z232" s="13"/>
      <c r="AA232" s="13"/>
      <c r="AB232" s="13"/>
      <c r="AC232" s="13"/>
    </row>
    <row r="233" spans="1:29" s="3" customFormat="1">
      <c r="A233" s="39"/>
      <c r="B233" s="40"/>
      <c r="C233" s="43"/>
      <c r="R233" s="13"/>
      <c r="S233" s="13"/>
      <c r="T233" s="13"/>
      <c r="U233" s="13"/>
      <c r="V233" s="13"/>
      <c r="W233" s="13"/>
      <c r="X233" s="13"/>
      <c r="Y233" s="13"/>
      <c r="Z233" s="13"/>
      <c r="AA233" s="13"/>
      <c r="AB233" s="13"/>
      <c r="AC233" s="13"/>
    </row>
    <row r="234" spans="1:29" s="3" customFormat="1">
      <c r="A234" s="39"/>
      <c r="B234" s="40"/>
      <c r="C234" s="43"/>
      <c r="R234" s="13"/>
      <c r="S234" s="13"/>
      <c r="T234" s="13"/>
      <c r="U234" s="13"/>
      <c r="V234" s="13"/>
      <c r="W234" s="13"/>
      <c r="X234" s="13"/>
      <c r="Y234" s="13"/>
      <c r="Z234" s="13"/>
      <c r="AA234" s="13"/>
      <c r="AB234" s="13"/>
      <c r="AC234" s="13"/>
    </row>
    <row r="235" spans="1:29" s="3" customFormat="1">
      <c r="A235" s="39"/>
      <c r="B235" s="40"/>
      <c r="C235" s="43"/>
      <c r="R235" s="13"/>
      <c r="S235" s="13"/>
      <c r="T235" s="13"/>
      <c r="U235" s="13"/>
      <c r="V235" s="13"/>
      <c r="W235" s="13"/>
      <c r="X235" s="13"/>
      <c r="Y235" s="13"/>
      <c r="Z235" s="13"/>
      <c r="AA235" s="13"/>
      <c r="AB235" s="13"/>
      <c r="AC235" s="13"/>
    </row>
    <row r="236" spans="1:29" s="3" customFormat="1">
      <c r="A236" s="39"/>
      <c r="B236" s="40"/>
      <c r="C236" s="43"/>
      <c r="R236" s="13"/>
      <c r="S236" s="13"/>
      <c r="T236" s="13"/>
      <c r="U236" s="13"/>
      <c r="V236" s="13"/>
      <c r="W236" s="13"/>
      <c r="X236" s="13"/>
      <c r="Y236" s="13"/>
      <c r="Z236" s="13"/>
      <c r="AA236" s="13"/>
      <c r="AB236" s="13"/>
      <c r="AC236" s="13"/>
    </row>
    <row r="237" spans="1:29" s="3" customFormat="1">
      <c r="A237" s="39"/>
      <c r="B237" s="40"/>
      <c r="C237" s="43"/>
      <c r="R237" s="13"/>
      <c r="S237" s="13"/>
      <c r="T237" s="13"/>
      <c r="U237" s="13"/>
      <c r="V237" s="13"/>
      <c r="W237" s="13"/>
      <c r="X237" s="13"/>
      <c r="Y237" s="13"/>
      <c r="Z237" s="13"/>
      <c r="AA237" s="13"/>
      <c r="AB237" s="13"/>
      <c r="AC237" s="13"/>
    </row>
    <row r="238" spans="1:29" s="3" customFormat="1">
      <c r="A238" s="39"/>
      <c r="B238" s="40"/>
      <c r="C238" s="43"/>
      <c r="R238" s="13"/>
      <c r="S238" s="13"/>
      <c r="T238" s="13"/>
      <c r="U238" s="13"/>
      <c r="V238" s="13"/>
      <c r="W238" s="13"/>
      <c r="X238" s="13"/>
      <c r="Y238" s="13"/>
      <c r="Z238" s="13"/>
      <c r="AA238" s="13"/>
      <c r="AB238" s="13"/>
      <c r="AC238" s="13"/>
    </row>
    <row r="239" spans="1:29" s="3" customFormat="1">
      <c r="A239" s="39"/>
      <c r="B239" s="40"/>
      <c r="C239" s="43"/>
      <c r="R239" s="13"/>
      <c r="S239" s="13"/>
      <c r="T239" s="13"/>
      <c r="U239" s="13"/>
      <c r="V239" s="13"/>
      <c r="W239" s="13"/>
      <c r="X239" s="13"/>
      <c r="Y239" s="13"/>
      <c r="Z239" s="13"/>
      <c r="AA239" s="13"/>
      <c r="AB239" s="13"/>
      <c r="AC239" s="13"/>
    </row>
    <row r="240" spans="1:29" s="3" customFormat="1">
      <c r="A240" s="39"/>
      <c r="B240" s="40"/>
      <c r="C240" s="43"/>
      <c r="R240" s="13"/>
      <c r="S240" s="13"/>
      <c r="T240" s="13"/>
      <c r="U240" s="13"/>
      <c r="V240" s="13"/>
      <c r="W240" s="13"/>
      <c r="X240" s="13"/>
      <c r="Y240" s="13"/>
      <c r="Z240" s="13"/>
      <c r="AA240" s="13"/>
      <c r="AB240" s="13"/>
      <c r="AC240" s="13"/>
    </row>
    <row r="241" spans="1:29" s="3" customFormat="1">
      <c r="A241" s="39"/>
      <c r="B241" s="40"/>
      <c r="C241" s="43"/>
      <c r="R241" s="13"/>
      <c r="S241" s="13"/>
      <c r="T241" s="13"/>
      <c r="U241" s="13"/>
      <c r="V241" s="13"/>
      <c r="W241" s="13"/>
      <c r="X241" s="13"/>
      <c r="Y241" s="13"/>
      <c r="Z241" s="13"/>
      <c r="AA241" s="13"/>
      <c r="AB241" s="13"/>
      <c r="AC241" s="13"/>
    </row>
    <row r="242" spans="1:29" s="3" customFormat="1">
      <c r="A242" s="39"/>
      <c r="B242" s="40"/>
      <c r="C242" s="43"/>
      <c r="R242" s="13"/>
      <c r="S242" s="13"/>
      <c r="T242" s="13"/>
      <c r="U242" s="13"/>
      <c r="V242" s="13"/>
      <c r="W242" s="13"/>
      <c r="X242" s="13"/>
      <c r="Y242" s="13"/>
      <c r="Z242" s="13"/>
      <c r="AA242" s="13"/>
      <c r="AB242" s="13"/>
      <c r="AC242" s="13"/>
    </row>
    <row r="243" spans="1:29" s="3" customFormat="1">
      <c r="A243" s="39"/>
      <c r="B243" s="40"/>
      <c r="C243" s="43"/>
      <c r="R243" s="13"/>
      <c r="S243" s="13"/>
      <c r="T243" s="13"/>
      <c r="U243" s="13"/>
      <c r="V243" s="13"/>
      <c r="W243" s="13"/>
      <c r="X243" s="13"/>
      <c r="Y243" s="13"/>
      <c r="Z243" s="13"/>
      <c r="AA243" s="13"/>
      <c r="AB243" s="13"/>
      <c r="AC243" s="13"/>
    </row>
    <row r="244" spans="1:29" s="3" customFormat="1">
      <c r="A244" s="39"/>
      <c r="B244" s="40"/>
      <c r="C244" s="43"/>
      <c r="R244" s="13"/>
      <c r="S244" s="13"/>
      <c r="T244" s="13"/>
      <c r="U244" s="13"/>
      <c r="V244" s="13"/>
      <c r="W244" s="13"/>
      <c r="X244" s="13"/>
      <c r="Y244" s="13"/>
      <c r="Z244" s="13"/>
      <c r="AA244" s="13"/>
      <c r="AB244" s="13"/>
      <c r="AC244" s="13"/>
    </row>
    <row r="245" spans="1:29" s="3" customFormat="1">
      <c r="A245" s="39"/>
      <c r="B245" s="40"/>
      <c r="C245" s="43"/>
      <c r="R245" s="13"/>
      <c r="S245" s="13"/>
      <c r="T245" s="13"/>
      <c r="U245" s="13"/>
      <c r="V245" s="13"/>
      <c r="W245" s="13"/>
      <c r="X245" s="13"/>
      <c r="Y245" s="13"/>
      <c r="Z245" s="13"/>
      <c r="AA245" s="13"/>
      <c r="AB245" s="13"/>
      <c r="AC245" s="13"/>
    </row>
    <row r="246" spans="1:29" s="3" customFormat="1">
      <c r="A246" s="39"/>
      <c r="B246" s="40"/>
      <c r="C246" s="43"/>
      <c r="R246" s="13"/>
      <c r="S246" s="13"/>
      <c r="T246" s="13"/>
      <c r="U246" s="13"/>
      <c r="V246" s="13"/>
      <c r="W246" s="13"/>
      <c r="X246" s="13"/>
      <c r="Y246" s="13"/>
      <c r="Z246" s="13"/>
      <c r="AA246" s="13"/>
      <c r="AB246" s="13"/>
      <c r="AC246" s="13"/>
    </row>
    <row r="247" spans="1:29" s="3" customFormat="1">
      <c r="A247" s="39"/>
      <c r="B247" s="40"/>
      <c r="C247" s="43"/>
      <c r="R247" s="13"/>
      <c r="S247" s="13"/>
      <c r="T247" s="13"/>
      <c r="U247" s="13"/>
      <c r="V247" s="13"/>
      <c r="W247" s="13"/>
      <c r="X247" s="13"/>
      <c r="Y247" s="13"/>
      <c r="Z247" s="13"/>
      <c r="AA247" s="13"/>
      <c r="AB247" s="13"/>
      <c r="AC247" s="13"/>
    </row>
    <row r="248" spans="1:29" s="3" customFormat="1">
      <c r="A248" s="39"/>
      <c r="B248" s="40"/>
      <c r="C248" s="43"/>
      <c r="R248" s="13"/>
      <c r="S248" s="13"/>
      <c r="T248" s="13"/>
      <c r="U248" s="13"/>
      <c r="V248" s="13"/>
      <c r="W248" s="13"/>
      <c r="X248" s="13"/>
      <c r="Y248" s="13"/>
      <c r="Z248" s="13"/>
      <c r="AA248" s="13"/>
      <c r="AB248" s="13"/>
      <c r="AC248" s="13"/>
    </row>
    <row r="249" spans="1:29" s="3" customFormat="1">
      <c r="A249" s="39"/>
      <c r="B249" s="40"/>
      <c r="C249" s="43"/>
      <c r="R249" s="13"/>
      <c r="S249" s="13"/>
      <c r="T249" s="13"/>
      <c r="U249" s="13"/>
      <c r="V249" s="13"/>
      <c r="W249" s="13"/>
      <c r="X249" s="13"/>
      <c r="Y249" s="13"/>
      <c r="Z249" s="13"/>
      <c r="AA249" s="13"/>
      <c r="AB249" s="13"/>
      <c r="AC249" s="13"/>
    </row>
    <row r="250" spans="1:29" s="3" customFormat="1">
      <c r="A250" s="39"/>
      <c r="B250" s="40"/>
      <c r="C250" s="43"/>
      <c r="R250" s="13"/>
      <c r="S250" s="13"/>
      <c r="T250" s="13"/>
      <c r="U250" s="13"/>
      <c r="V250" s="13"/>
      <c r="W250" s="13"/>
      <c r="X250" s="13"/>
      <c r="Y250" s="13"/>
      <c r="Z250" s="13"/>
      <c r="AA250" s="13"/>
      <c r="AB250" s="13"/>
      <c r="AC250" s="13"/>
    </row>
    <row r="251" spans="1:29" s="3" customFormat="1">
      <c r="A251" s="39"/>
      <c r="B251" s="40"/>
      <c r="C251" s="43"/>
      <c r="R251" s="13"/>
      <c r="S251" s="13"/>
      <c r="T251" s="13"/>
      <c r="U251" s="13"/>
      <c r="V251" s="13"/>
      <c r="W251" s="13"/>
      <c r="X251" s="13"/>
      <c r="Y251" s="13"/>
      <c r="Z251" s="13"/>
      <c r="AA251" s="13"/>
      <c r="AB251" s="13"/>
      <c r="AC251" s="13"/>
    </row>
    <row r="252" spans="1:29" s="3" customFormat="1">
      <c r="A252" s="39"/>
      <c r="B252" s="40"/>
      <c r="C252" s="43"/>
      <c r="R252" s="13"/>
      <c r="S252" s="13"/>
      <c r="T252" s="13"/>
      <c r="U252" s="13"/>
      <c r="V252" s="13"/>
      <c r="W252" s="13"/>
      <c r="X252" s="13"/>
      <c r="Y252" s="13"/>
      <c r="Z252" s="13"/>
      <c r="AA252" s="13"/>
      <c r="AB252" s="13"/>
      <c r="AC252" s="13"/>
    </row>
    <row r="253" spans="1:29" s="3" customFormat="1">
      <c r="A253" s="39"/>
      <c r="B253" s="40"/>
      <c r="C253" s="43"/>
      <c r="R253" s="13"/>
      <c r="S253" s="13"/>
      <c r="T253" s="13"/>
      <c r="U253" s="13"/>
      <c r="V253" s="13"/>
      <c r="W253" s="13"/>
      <c r="X253" s="13"/>
      <c r="Y253" s="13"/>
      <c r="Z253" s="13"/>
      <c r="AA253" s="13"/>
      <c r="AB253" s="13"/>
      <c r="AC253" s="13"/>
    </row>
    <row r="254" spans="1:29" s="3" customFormat="1">
      <c r="A254" s="39"/>
      <c r="B254" s="40"/>
      <c r="C254" s="43"/>
      <c r="R254" s="13"/>
      <c r="S254" s="13"/>
      <c r="T254" s="13"/>
      <c r="U254" s="13"/>
      <c r="V254" s="13"/>
      <c r="W254" s="13"/>
      <c r="X254" s="13"/>
      <c r="Y254" s="13"/>
      <c r="Z254" s="13"/>
      <c r="AA254" s="13"/>
      <c r="AB254" s="13"/>
      <c r="AC254" s="13"/>
    </row>
    <row r="255" spans="1:29" s="3" customFormat="1">
      <c r="A255" s="39"/>
      <c r="B255" s="40"/>
      <c r="C255" s="43"/>
      <c r="R255" s="13"/>
      <c r="S255" s="13"/>
      <c r="T255" s="13"/>
      <c r="U255" s="13"/>
      <c r="V255" s="13"/>
      <c r="W255" s="13"/>
      <c r="X255" s="13"/>
      <c r="Y255" s="13"/>
      <c r="Z255" s="13"/>
      <c r="AA255" s="13"/>
      <c r="AB255" s="13"/>
      <c r="AC255" s="13"/>
    </row>
    <row r="256" spans="1:29" s="3" customFormat="1">
      <c r="A256" s="39"/>
      <c r="B256" s="40"/>
      <c r="C256" s="43"/>
      <c r="R256" s="13"/>
      <c r="S256" s="13"/>
      <c r="T256" s="13"/>
      <c r="U256" s="13"/>
      <c r="V256" s="13"/>
      <c r="W256" s="13"/>
      <c r="X256" s="13"/>
      <c r="Y256" s="13"/>
      <c r="Z256" s="13"/>
      <c r="AA256" s="13"/>
      <c r="AB256" s="13"/>
      <c r="AC256" s="13"/>
    </row>
    <row r="257" spans="1:29" s="3" customFormat="1">
      <c r="A257" s="39"/>
      <c r="B257" s="40"/>
      <c r="C257" s="43"/>
      <c r="R257" s="13"/>
      <c r="S257" s="13"/>
      <c r="T257" s="13"/>
      <c r="U257" s="13"/>
      <c r="V257" s="13"/>
      <c r="W257" s="13"/>
      <c r="X257" s="13"/>
      <c r="Y257" s="13"/>
      <c r="Z257" s="13"/>
      <c r="AA257" s="13"/>
      <c r="AB257" s="13"/>
      <c r="AC257" s="13"/>
    </row>
    <row r="258" spans="1:29" s="3" customFormat="1">
      <c r="A258" s="39"/>
      <c r="B258" s="40"/>
      <c r="C258" s="43"/>
      <c r="R258" s="13"/>
      <c r="S258" s="13"/>
      <c r="T258" s="13"/>
      <c r="U258" s="13"/>
      <c r="V258" s="13"/>
      <c r="W258" s="13"/>
      <c r="X258" s="13"/>
      <c r="Y258" s="13"/>
      <c r="Z258" s="13"/>
      <c r="AA258" s="13"/>
      <c r="AB258" s="13"/>
      <c r="AC258" s="13"/>
    </row>
    <row r="259" spans="1:29" s="3" customFormat="1">
      <c r="A259" s="39"/>
      <c r="B259" s="40"/>
      <c r="C259" s="43"/>
      <c r="R259" s="13"/>
      <c r="S259" s="13"/>
      <c r="T259" s="13"/>
      <c r="U259" s="13"/>
      <c r="V259" s="13"/>
      <c r="W259" s="13"/>
      <c r="X259" s="13"/>
      <c r="Y259" s="13"/>
      <c r="Z259" s="13"/>
      <c r="AA259" s="13"/>
      <c r="AB259" s="13"/>
      <c r="AC259" s="13"/>
    </row>
    <row r="260" spans="1:29" s="3" customFormat="1">
      <c r="A260" s="39"/>
      <c r="B260" s="40"/>
      <c r="C260" s="43"/>
      <c r="R260" s="13"/>
      <c r="S260" s="13"/>
      <c r="T260" s="13"/>
      <c r="U260" s="13"/>
      <c r="V260" s="13"/>
      <c r="W260" s="13"/>
      <c r="X260" s="13"/>
      <c r="Y260" s="13"/>
      <c r="Z260" s="13"/>
      <c r="AA260" s="13"/>
      <c r="AB260" s="13"/>
      <c r="AC260" s="13"/>
    </row>
    <row r="261" spans="1:29" s="3" customFormat="1">
      <c r="A261" s="39"/>
      <c r="B261" s="40"/>
      <c r="C261" s="43"/>
      <c r="R261" s="13"/>
      <c r="S261" s="13"/>
      <c r="T261" s="13"/>
      <c r="U261" s="13"/>
      <c r="V261" s="13"/>
      <c r="W261" s="13"/>
      <c r="X261" s="13"/>
      <c r="Y261" s="13"/>
      <c r="Z261" s="13"/>
      <c r="AA261" s="13"/>
      <c r="AB261" s="13"/>
      <c r="AC261" s="13"/>
    </row>
    <row r="262" spans="1:29" s="3" customFormat="1">
      <c r="A262" s="39"/>
      <c r="B262" s="40"/>
      <c r="C262" s="43"/>
      <c r="R262" s="13"/>
      <c r="S262" s="13"/>
      <c r="T262" s="13"/>
      <c r="U262" s="13"/>
      <c r="V262" s="13"/>
      <c r="W262" s="13"/>
      <c r="X262" s="13"/>
      <c r="Y262" s="13"/>
      <c r="Z262" s="13"/>
      <c r="AA262" s="13"/>
      <c r="AB262" s="13"/>
      <c r="AC262" s="13"/>
    </row>
    <row r="263" spans="1:29" s="3" customFormat="1">
      <c r="A263" s="39"/>
      <c r="B263" s="40"/>
      <c r="C263" s="43"/>
      <c r="R263" s="13"/>
      <c r="S263" s="13"/>
      <c r="T263" s="13"/>
      <c r="U263" s="13"/>
      <c r="V263" s="13"/>
      <c r="W263" s="13"/>
      <c r="X263" s="13"/>
      <c r="Y263" s="13"/>
      <c r="Z263" s="13"/>
      <c r="AA263" s="13"/>
      <c r="AB263" s="13"/>
      <c r="AC263" s="13"/>
    </row>
    <row r="264" spans="1:29" s="3" customFormat="1">
      <c r="A264" s="39"/>
      <c r="B264" s="40"/>
      <c r="C264" s="43"/>
      <c r="R264" s="13"/>
      <c r="S264" s="13"/>
      <c r="T264" s="13"/>
      <c r="U264" s="13"/>
      <c r="V264" s="13"/>
      <c r="W264" s="13"/>
      <c r="X264" s="13"/>
      <c r="Y264" s="13"/>
      <c r="Z264" s="13"/>
      <c r="AA264" s="13"/>
      <c r="AB264" s="13"/>
      <c r="AC264" s="13"/>
    </row>
    <row r="265" spans="1:29" s="3" customFormat="1">
      <c r="A265" s="39"/>
      <c r="B265" s="40"/>
      <c r="C265" s="43"/>
      <c r="R265" s="13"/>
      <c r="S265" s="13"/>
      <c r="T265" s="13"/>
      <c r="U265" s="13"/>
      <c r="V265" s="13"/>
      <c r="W265" s="13"/>
      <c r="X265" s="13"/>
      <c r="Y265" s="13"/>
      <c r="Z265" s="13"/>
      <c r="AA265" s="13"/>
      <c r="AB265" s="13"/>
      <c r="AC265" s="13"/>
    </row>
    <row r="266" spans="1:29" s="3" customFormat="1">
      <c r="A266" s="39"/>
      <c r="B266" s="40"/>
      <c r="C266" s="43"/>
      <c r="R266" s="13"/>
      <c r="S266" s="13"/>
      <c r="T266" s="13"/>
      <c r="U266" s="13"/>
      <c r="V266" s="13"/>
      <c r="W266" s="13"/>
      <c r="X266" s="13"/>
      <c r="Y266" s="13"/>
      <c r="Z266" s="13"/>
      <c r="AA266" s="13"/>
      <c r="AB266" s="13"/>
      <c r="AC266" s="13"/>
    </row>
    <row r="267" spans="1:29" s="3" customFormat="1">
      <c r="A267" s="39"/>
      <c r="B267" s="40"/>
      <c r="C267" s="43"/>
      <c r="R267" s="13"/>
      <c r="S267" s="13"/>
      <c r="T267" s="13"/>
      <c r="U267" s="13"/>
      <c r="V267" s="13"/>
      <c r="W267" s="13"/>
      <c r="X267" s="13"/>
      <c r="Y267" s="13"/>
      <c r="Z267" s="13"/>
      <c r="AA267" s="13"/>
      <c r="AB267" s="13"/>
      <c r="AC267" s="13"/>
    </row>
    <row r="268" spans="1:29" s="3" customFormat="1">
      <c r="A268" s="39"/>
      <c r="B268" s="40"/>
      <c r="C268" s="43"/>
      <c r="R268" s="13"/>
      <c r="S268" s="13"/>
      <c r="T268" s="13"/>
      <c r="U268" s="13"/>
      <c r="V268" s="13"/>
      <c r="W268" s="13"/>
      <c r="X268" s="13"/>
      <c r="Y268" s="13"/>
      <c r="Z268" s="13"/>
      <c r="AA268" s="13"/>
      <c r="AB268" s="13"/>
      <c r="AC268" s="13"/>
    </row>
    <row r="269" spans="1:29" s="3" customFormat="1">
      <c r="A269" s="39"/>
      <c r="B269" s="40"/>
      <c r="C269" s="43"/>
      <c r="R269" s="13"/>
      <c r="S269" s="13"/>
      <c r="T269" s="13"/>
      <c r="U269" s="13"/>
      <c r="V269" s="13"/>
      <c r="W269" s="13"/>
      <c r="X269" s="13"/>
      <c r="Y269" s="13"/>
      <c r="Z269" s="13"/>
      <c r="AA269" s="13"/>
      <c r="AB269" s="13"/>
      <c r="AC269" s="13"/>
    </row>
    <row r="270" spans="1:29" s="3" customFormat="1">
      <c r="A270" s="39"/>
      <c r="B270" s="40"/>
      <c r="C270" s="43"/>
      <c r="R270" s="13"/>
      <c r="S270" s="13"/>
      <c r="T270" s="13"/>
      <c r="U270" s="13"/>
      <c r="V270" s="13"/>
      <c r="W270" s="13"/>
      <c r="X270" s="13"/>
      <c r="Y270" s="13"/>
      <c r="Z270" s="13"/>
      <c r="AA270" s="13"/>
      <c r="AB270" s="13"/>
      <c r="AC270" s="13"/>
    </row>
    <row r="271" spans="1:29" s="3" customFormat="1">
      <c r="A271" s="39"/>
      <c r="B271" s="40"/>
      <c r="C271" s="43"/>
      <c r="R271" s="13"/>
      <c r="S271" s="13"/>
      <c r="T271" s="13"/>
      <c r="U271" s="13"/>
      <c r="V271" s="13"/>
      <c r="W271" s="13"/>
      <c r="X271" s="13"/>
      <c r="Y271" s="13"/>
      <c r="Z271" s="13"/>
      <c r="AA271" s="13"/>
      <c r="AB271" s="13"/>
      <c r="AC271" s="13"/>
    </row>
    <row r="272" spans="1:29" s="3" customFormat="1">
      <c r="A272" s="39"/>
      <c r="B272" s="40"/>
      <c r="C272" s="43"/>
      <c r="R272" s="13"/>
      <c r="S272" s="13"/>
      <c r="T272" s="13"/>
      <c r="U272" s="13"/>
      <c r="V272" s="13"/>
      <c r="W272" s="13"/>
      <c r="X272" s="13"/>
      <c r="Y272" s="13"/>
      <c r="Z272" s="13"/>
      <c r="AA272" s="13"/>
      <c r="AB272" s="13"/>
      <c r="AC272" s="13"/>
    </row>
    <row r="273" spans="1:29" s="3" customFormat="1">
      <c r="A273" s="39"/>
      <c r="B273" s="40"/>
      <c r="C273" s="43"/>
      <c r="R273" s="13"/>
      <c r="S273" s="13"/>
      <c r="T273" s="13"/>
      <c r="U273" s="13"/>
      <c r="V273" s="13"/>
      <c r="W273" s="13"/>
      <c r="X273" s="13"/>
      <c r="Y273" s="13"/>
      <c r="Z273" s="13"/>
      <c r="AA273" s="13"/>
      <c r="AB273" s="13"/>
      <c r="AC273" s="13"/>
    </row>
    <row r="274" spans="1:29" s="3" customFormat="1">
      <c r="A274" s="39"/>
      <c r="B274" s="40"/>
      <c r="C274" s="43"/>
      <c r="R274" s="13"/>
      <c r="S274" s="13"/>
      <c r="T274" s="13"/>
      <c r="U274" s="13"/>
      <c r="V274" s="13"/>
      <c r="W274" s="13"/>
      <c r="X274" s="13"/>
      <c r="Y274" s="13"/>
      <c r="Z274" s="13"/>
      <c r="AA274" s="13"/>
      <c r="AB274" s="13"/>
      <c r="AC274" s="13"/>
    </row>
    <row r="275" spans="1:29" s="3" customFormat="1">
      <c r="A275" s="39"/>
      <c r="B275" s="40"/>
      <c r="C275" s="43"/>
      <c r="R275" s="13"/>
      <c r="S275" s="13"/>
      <c r="T275" s="13"/>
      <c r="U275" s="13"/>
      <c r="V275" s="13"/>
      <c r="W275" s="13"/>
      <c r="X275" s="13"/>
      <c r="Y275" s="13"/>
      <c r="Z275" s="13"/>
      <c r="AA275" s="13"/>
      <c r="AB275" s="13"/>
      <c r="AC275" s="13"/>
    </row>
    <row r="276" spans="1:29" s="3" customFormat="1">
      <c r="A276" s="39"/>
      <c r="B276" s="40"/>
      <c r="C276" s="43"/>
      <c r="R276" s="13"/>
      <c r="S276" s="13"/>
      <c r="T276" s="13"/>
      <c r="U276" s="13"/>
      <c r="V276" s="13"/>
      <c r="W276" s="13"/>
      <c r="X276" s="13"/>
      <c r="Y276" s="13"/>
      <c r="Z276" s="13"/>
      <c r="AA276" s="13"/>
      <c r="AB276" s="13"/>
      <c r="AC276" s="13"/>
    </row>
    <row r="277" spans="1:29" s="3" customFormat="1">
      <c r="A277" s="39"/>
      <c r="B277" s="40"/>
      <c r="C277" s="43"/>
      <c r="R277" s="13"/>
      <c r="S277" s="13"/>
      <c r="T277" s="13"/>
      <c r="U277" s="13"/>
      <c r="V277" s="13"/>
      <c r="W277" s="13"/>
      <c r="X277" s="13"/>
      <c r="Y277" s="13"/>
      <c r="Z277" s="13"/>
      <c r="AA277" s="13"/>
      <c r="AB277" s="13"/>
      <c r="AC277" s="13"/>
    </row>
    <row r="278" spans="1:29" s="3" customFormat="1">
      <c r="A278" s="39"/>
      <c r="B278" s="40"/>
      <c r="C278" s="43"/>
      <c r="R278" s="13"/>
      <c r="S278" s="13"/>
      <c r="T278" s="13"/>
      <c r="U278" s="13"/>
      <c r="V278" s="13"/>
      <c r="W278" s="13"/>
      <c r="X278" s="13"/>
      <c r="Y278" s="13"/>
      <c r="Z278" s="13"/>
      <c r="AA278" s="13"/>
      <c r="AB278" s="13"/>
      <c r="AC278" s="13"/>
    </row>
    <row r="279" spans="1:29" s="3" customFormat="1">
      <c r="A279" s="39"/>
      <c r="B279" s="40"/>
      <c r="C279" s="43"/>
      <c r="R279" s="13"/>
      <c r="S279" s="13"/>
      <c r="T279" s="13"/>
      <c r="U279" s="13"/>
      <c r="V279" s="13"/>
      <c r="W279" s="13"/>
      <c r="X279" s="13"/>
      <c r="Y279" s="13"/>
      <c r="Z279" s="13"/>
      <c r="AA279" s="13"/>
      <c r="AB279" s="13"/>
      <c r="AC279" s="13"/>
    </row>
    <row r="280" spans="1:29" s="3" customFormat="1">
      <c r="A280" s="39"/>
      <c r="B280" s="40"/>
      <c r="C280" s="43"/>
      <c r="R280" s="13"/>
      <c r="S280" s="13"/>
      <c r="T280" s="13"/>
      <c r="U280" s="13"/>
      <c r="V280" s="13"/>
      <c r="W280" s="13"/>
      <c r="X280" s="13"/>
      <c r="Y280" s="13"/>
      <c r="Z280" s="13"/>
      <c r="AA280" s="13"/>
      <c r="AB280" s="13"/>
      <c r="AC280" s="13"/>
    </row>
    <row r="281" spans="1:29" s="3" customFormat="1">
      <c r="A281" s="39"/>
      <c r="B281" s="40"/>
      <c r="C281" s="43"/>
      <c r="R281" s="13"/>
      <c r="S281" s="13"/>
      <c r="T281" s="13"/>
      <c r="U281" s="13"/>
      <c r="V281" s="13"/>
      <c r="W281" s="13"/>
      <c r="X281" s="13"/>
      <c r="Y281" s="13"/>
      <c r="Z281" s="13"/>
      <c r="AA281" s="13"/>
      <c r="AB281" s="13"/>
      <c r="AC281" s="13"/>
    </row>
    <row r="282" spans="1:29" s="3" customFormat="1">
      <c r="A282" s="39"/>
      <c r="B282" s="40"/>
      <c r="C282" s="43"/>
      <c r="R282" s="13"/>
      <c r="S282" s="13"/>
      <c r="T282" s="13"/>
      <c r="U282" s="13"/>
      <c r="V282" s="13"/>
      <c r="W282" s="13"/>
      <c r="X282" s="13"/>
      <c r="Y282" s="13"/>
      <c r="Z282" s="13"/>
      <c r="AA282" s="13"/>
      <c r="AB282" s="13"/>
      <c r="AC282" s="13"/>
    </row>
    <row r="283" spans="1:29" s="3" customFormat="1">
      <c r="A283" s="39"/>
      <c r="B283" s="40"/>
      <c r="C283" s="43"/>
      <c r="R283" s="13"/>
      <c r="S283" s="13"/>
      <c r="T283" s="13"/>
      <c r="U283" s="13"/>
      <c r="V283" s="13"/>
      <c r="W283" s="13"/>
      <c r="X283" s="13"/>
      <c r="Y283" s="13"/>
      <c r="Z283" s="13"/>
      <c r="AA283" s="13"/>
      <c r="AB283" s="13"/>
      <c r="AC283" s="13"/>
    </row>
    <row r="284" spans="1:29" s="3" customFormat="1">
      <c r="A284" s="39"/>
      <c r="B284" s="40"/>
      <c r="C284" s="43"/>
      <c r="R284" s="13"/>
      <c r="S284" s="13"/>
      <c r="T284" s="13"/>
      <c r="U284" s="13"/>
      <c r="V284" s="13"/>
      <c r="W284" s="13"/>
      <c r="X284" s="13"/>
      <c r="Y284" s="13"/>
      <c r="Z284" s="13"/>
      <c r="AA284" s="13"/>
      <c r="AB284" s="13"/>
      <c r="AC284" s="13"/>
    </row>
    <row r="285" spans="1:29" s="3" customFormat="1">
      <c r="A285" s="39"/>
      <c r="B285" s="40"/>
      <c r="C285" s="43"/>
      <c r="R285" s="13"/>
      <c r="S285" s="13"/>
      <c r="T285" s="13"/>
      <c r="U285" s="13"/>
      <c r="V285" s="13"/>
      <c r="W285" s="13"/>
      <c r="X285" s="13"/>
      <c r="Y285" s="13"/>
      <c r="Z285" s="13"/>
      <c r="AA285" s="13"/>
      <c r="AB285" s="13"/>
      <c r="AC285" s="13"/>
    </row>
    <row r="286" spans="1:29" s="3" customFormat="1">
      <c r="A286" s="39"/>
      <c r="B286" s="40"/>
      <c r="C286" s="43"/>
      <c r="R286" s="13"/>
      <c r="S286" s="13"/>
      <c r="T286" s="13"/>
      <c r="U286" s="13"/>
      <c r="V286" s="13"/>
      <c r="W286" s="13"/>
      <c r="X286" s="13"/>
      <c r="Y286" s="13"/>
      <c r="Z286" s="13"/>
      <c r="AA286" s="13"/>
      <c r="AB286" s="13"/>
      <c r="AC286" s="13"/>
    </row>
    <row r="287" spans="1:29" s="3" customFormat="1">
      <c r="A287" s="39"/>
      <c r="B287" s="40"/>
      <c r="C287" s="43"/>
      <c r="R287" s="13"/>
      <c r="S287" s="13"/>
      <c r="T287" s="13"/>
      <c r="U287" s="13"/>
      <c r="V287" s="13"/>
      <c r="W287" s="13"/>
      <c r="X287" s="13"/>
      <c r="Y287" s="13"/>
      <c r="Z287" s="13"/>
      <c r="AA287" s="13"/>
      <c r="AB287" s="13"/>
      <c r="AC287" s="13"/>
    </row>
    <row r="288" spans="1:29" s="3" customFormat="1">
      <c r="A288" s="39"/>
      <c r="B288" s="40"/>
      <c r="C288" s="43"/>
      <c r="R288" s="13"/>
      <c r="S288" s="13"/>
      <c r="T288" s="13"/>
      <c r="U288" s="13"/>
      <c r="V288" s="13"/>
      <c r="W288" s="13"/>
      <c r="X288" s="13"/>
      <c r="Y288" s="13"/>
      <c r="Z288" s="13"/>
      <c r="AA288" s="13"/>
      <c r="AB288" s="13"/>
      <c r="AC288" s="13"/>
    </row>
    <row r="289" spans="1:29" s="3" customFormat="1">
      <c r="A289" s="39"/>
      <c r="B289" s="40"/>
      <c r="C289" s="43"/>
      <c r="R289" s="13"/>
      <c r="S289" s="13"/>
      <c r="T289" s="13"/>
      <c r="U289" s="13"/>
      <c r="V289" s="13"/>
      <c r="W289" s="13"/>
      <c r="X289" s="13"/>
      <c r="Y289" s="13"/>
      <c r="Z289" s="13"/>
      <c r="AA289" s="13"/>
      <c r="AB289" s="13"/>
      <c r="AC289" s="13"/>
    </row>
    <row r="290" spans="1:29" s="3" customFormat="1">
      <c r="A290" s="39"/>
      <c r="B290" s="40"/>
      <c r="C290" s="43"/>
      <c r="R290" s="13"/>
      <c r="S290" s="13"/>
      <c r="T290" s="13"/>
      <c r="U290" s="13"/>
      <c r="V290" s="13"/>
      <c r="W290" s="13"/>
      <c r="X290" s="13"/>
      <c r="Y290" s="13"/>
      <c r="Z290" s="13"/>
      <c r="AA290" s="13"/>
      <c r="AB290" s="13"/>
      <c r="AC290" s="13"/>
    </row>
    <row r="291" spans="1:29" s="3" customFormat="1">
      <c r="A291" s="39"/>
      <c r="B291" s="40"/>
      <c r="C291" s="43"/>
      <c r="R291" s="13"/>
      <c r="S291" s="13"/>
      <c r="T291" s="13"/>
      <c r="U291" s="13"/>
      <c r="V291" s="13"/>
      <c r="W291" s="13"/>
      <c r="X291" s="13"/>
      <c r="Y291" s="13"/>
      <c r="Z291" s="13"/>
      <c r="AA291" s="13"/>
      <c r="AB291" s="13"/>
      <c r="AC291" s="13"/>
    </row>
    <row r="292" spans="1:29" s="3" customFormat="1">
      <c r="A292" s="39"/>
      <c r="B292" s="40"/>
      <c r="C292" s="43"/>
      <c r="R292" s="13"/>
      <c r="S292" s="13"/>
      <c r="T292" s="13"/>
      <c r="U292" s="13"/>
      <c r="V292" s="13"/>
      <c r="W292" s="13"/>
      <c r="X292" s="13"/>
      <c r="Y292" s="13"/>
      <c r="Z292" s="13"/>
      <c r="AA292" s="13"/>
      <c r="AB292" s="13"/>
      <c r="AC292" s="13"/>
    </row>
    <row r="293" spans="1:29" s="3" customFormat="1">
      <c r="A293" s="39"/>
      <c r="B293" s="40"/>
      <c r="C293" s="43"/>
      <c r="R293" s="13"/>
      <c r="S293" s="13"/>
      <c r="T293" s="13"/>
      <c r="U293" s="13"/>
      <c r="V293" s="13"/>
      <c r="W293" s="13"/>
      <c r="X293" s="13"/>
      <c r="Y293" s="13"/>
      <c r="Z293" s="13"/>
      <c r="AA293" s="13"/>
      <c r="AB293" s="13"/>
      <c r="AC293" s="13"/>
    </row>
    <row r="294" spans="1:29" s="3" customFormat="1">
      <c r="A294" s="39"/>
      <c r="B294" s="40"/>
      <c r="C294" s="43"/>
      <c r="R294" s="13"/>
      <c r="S294" s="13"/>
      <c r="T294" s="13"/>
      <c r="U294" s="13"/>
      <c r="V294" s="13"/>
      <c r="W294" s="13"/>
      <c r="X294" s="13"/>
      <c r="Y294" s="13"/>
      <c r="Z294" s="13"/>
      <c r="AA294" s="13"/>
      <c r="AB294" s="13"/>
      <c r="AC294" s="13"/>
    </row>
    <row r="295" spans="1:29" s="3" customFormat="1">
      <c r="A295" s="39"/>
      <c r="B295" s="40"/>
      <c r="C295" s="43"/>
      <c r="R295" s="13"/>
      <c r="S295" s="13"/>
      <c r="T295" s="13"/>
      <c r="U295" s="13"/>
      <c r="V295" s="13"/>
      <c r="W295" s="13"/>
      <c r="X295" s="13"/>
      <c r="Y295" s="13"/>
      <c r="Z295" s="13"/>
      <c r="AA295" s="13"/>
      <c r="AB295" s="13"/>
      <c r="AC295" s="13"/>
    </row>
    <row r="296" spans="1:29" s="3" customFormat="1">
      <c r="A296" s="39"/>
      <c r="B296" s="40"/>
      <c r="C296" s="43"/>
      <c r="R296" s="13"/>
      <c r="S296" s="13"/>
      <c r="T296" s="13"/>
      <c r="U296" s="13"/>
      <c r="V296" s="13"/>
      <c r="W296" s="13"/>
      <c r="X296" s="13"/>
      <c r="Y296" s="13"/>
      <c r="Z296" s="13"/>
      <c r="AA296" s="13"/>
      <c r="AB296" s="13"/>
      <c r="AC296" s="13"/>
    </row>
    <row r="297" spans="1:29" s="3" customFormat="1">
      <c r="A297" s="39"/>
      <c r="B297" s="40"/>
      <c r="C297" s="43"/>
      <c r="R297" s="13"/>
      <c r="S297" s="13"/>
      <c r="T297" s="13"/>
      <c r="U297" s="13"/>
      <c r="V297" s="13"/>
      <c r="W297" s="13"/>
      <c r="X297" s="13"/>
      <c r="Y297" s="13"/>
      <c r="Z297" s="13"/>
      <c r="AA297" s="13"/>
      <c r="AB297" s="13"/>
      <c r="AC297" s="13"/>
    </row>
    <row r="298" spans="1:29" s="3" customFormat="1">
      <c r="A298" s="39"/>
      <c r="B298" s="40"/>
      <c r="C298" s="43"/>
      <c r="R298" s="13"/>
      <c r="S298" s="13"/>
      <c r="T298" s="13"/>
      <c r="U298" s="13"/>
      <c r="V298" s="13"/>
      <c r="W298" s="13"/>
      <c r="X298" s="13"/>
      <c r="Y298" s="13"/>
      <c r="Z298" s="13"/>
      <c r="AA298" s="13"/>
      <c r="AB298" s="13"/>
      <c r="AC298" s="13"/>
    </row>
    <row r="299" spans="1:29" s="3" customFormat="1">
      <c r="A299" s="39"/>
      <c r="B299" s="40"/>
      <c r="C299" s="43"/>
      <c r="R299" s="13"/>
      <c r="S299" s="13"/>
      <c r="T299" s="13"/>
      <c r="U299" s="13"/>
      <c r="V299" s="13"/>
      <c r="W299" s="13"/>
      <c r="X299" s="13"/>
      <c r="Y299" s="13"/>
      <c r="Z299" s="13"/>
      <c r="AA299" s="13"/>
      <c r="AB299" s="13"/>
      <c r="AC299" s="13"/>
    </row>
    <row r="300" spans="1:29" s="3" customFormat="1">
      <c r="A300" s="39"/>
      <c r="B300" s="40"/>
      <c r="C300" s="43"/>
      <c r="R300" s="13"/>
      <c r="S300" s="13"/>
      <c r="T300" s="13"/>
      <c r="U300" s="13"/>
      <c r="V300" s="13"/>
      <c r="W300" s="13"/>
      <c r="X300" s="13"/>
      <c r="Y300" s="13"/>
      <c r="Z300" s="13"/>
      <c r="AA300" s="13"/>
      <c r="AB300" s="13"/>
      <c r="AC300" s="13"/>
    </row>
    <row r="301" spans="1:29" s="3" customFormat="1">
      <c r="A301" s="39"/>
      <c r="B301" s="40"/>
      <c r="C301" s="43"/>
      <c r="R301" s="13"/>
      <c r="S301" s="13"/>
      <c r="T301" s="13"/>
      <c r="U301" s="13"/>
      <c r="V301" s="13"/>
      <c r="W301" s="13"/>
      <c r="X301" s="13"/>
      <c r="Y301" s="13"/>
      <c r="Z301" s="13"/>
      <c r="AA301" s="13"/>
      <c r="AB301" s="13"/>
      <c r="AC301" s="13"/>
    </row>
    <row r="302" spans="1:29" s="3" customFormat="1">
      <c r="A302" s="39"/>
      <c r="B302" s="40"/>
      <c r="C302" s="43"/>
      <c r="R302" s="13"/>
      <c r="S302" s="13"/>
      <c r="T302" s="13"/>
      <c r="U302" s="13"/>
      <c r="V302" s="13"/>
      <c r="W302" s="13"/>
      <c r="X302" s="13"/>
      <c r="Y302" s="13"/>
      <c r="Z302" s="13"/>
      <c r="AA302" s="13"/>
      <c r="AB302" s="13"/>
      <c r="AC302" s="13"/>
    </row>
    <row r="303" spans="1:29" s="3" customFormat="1">
      <c r="A303" s="39"/>
      <c r="B303" s="40"/>
      <c r="C303" s="43"/>
      <c r="R303" s="13"/>
      <c r="S303" s="13"/>
      <c r="T303" s="13"/>
      <c r="U303" s="13"/>
      <c r="V303" s="13"/>
      <c r="W303" s="13"/>
      <c r="X303" s="13"/>
      <c r="Y303" s="13"/>
      <c r="Z303" s="13"/>
      <c r="AA303" s="13"/>
      <c r="AB303" s="13"/>
      <c r="AC303" s="13"/>
    </row>
    <row r="304" spans="1:29" s="3" customFormat="1">
      <c r="A304" s="39"/>
      <c r="B304" s="40"/>
      <c r="C304" s="43"/>
      <c r="R304" s="13"/>
      <c r="S304" s="13"/>
      <c r="T304" s="13"/>
      <c r="U304" s="13"/>
      <c r="V304" s="13"/>
      <c r="W304" s="13"/>
      <c r="X304" s="13"/>
      <c r="Y304" s="13"/>
      <c r="Z304" s="13"/>
      <c r="AA304" s="13"/>
      <c r="AB304" s="13"/>
      <c r="AC304" s="13"/>
    </row>
    <row r="305" spans="1:29" s="3" customFormat="1">
      <c r="A305" s="39"/>
      <c r="B305" s="40"/>
      <c r="C305" s="43"/>
      <c r="R305" s="13"/>
      <c r="S305" s="13"/>
      <c r="T305" s="13"/>
      <c r="U305" s="13"/>
      <c r="V305" s="13"/>
      <c r="W305" s="13"/>
      <c r="X305" s="13"/>
      <c r="Y305" s="13"/>
      <c r="Z305" s="13"/>
      <c r="AA305" s="13"/>
      <c r="AB305" s="13"/>
      <c r="AC305" s="13"/>
    </row>
    <row r="306" spans="1:29" s="3" customFormat="1">
      <c r="A306" s="39"/>
      <c r="B306" s="40"/>
      <c r="C306" s="43"/>
      <c r="R306" s="13"/>
      <c r="S306" s="13"/>
      <c r="T306" s="13"/>
      <c r="U306" s="13"/>
      <c r="V306" s="13"/>
      <c r="W306" s="13"/>
      <c r="X306" s="13"/>
      <c r="Y306" s="13"/>
      <c r="Z306" s="13"/>
      <c r="AA306" s="13"/>
      <c r="AB306" s="13"/>
      <c r="AC306" s="13"/>
    </row>
    <row r="307" spans="1:29" s="3" customFormat="1">
      <c r="A307" s="39"/>
      <c r="B307" s="40"/>
      <c r="C307" s="43"/>
      <c r="R307" s="13"/>
      <c r="S307" s="13"/>
      <c r="T307" s="13"/>
      <c r="U307" s="13"/>
      <c r="V307" s="13"/>
      <c r="W307" s="13"/>
      <c r="X307" s="13"/>
      <c r="Y307" s="13"/>
      <c r="Z307" s="13"/>
      <c r="AA307" s="13"/>
      <c r="AB307" s="13"/>
      <c r="AC307" s="13"/>
    </row>
    <row r="308" spans="1:29" s="3" customFormat="1">
      <c r="A308" s="39"/>
      <c r="B308" s="40"/>
      <c r="C308" s="43"/>
      <c r="R308" s="13"/>
      <c r="S308" s="13"/>
      <c r="T308" s="13"/>
      <c r="U308" s="13"/>
      <c r="V308" s="13"/>
      <c r="W308" s="13"/>
      <c r="X308" s="13"/>
      <c r="Y308" s="13"/>
      <c r="Z308" s="13"/>
      <c r="AA308" s="13"/>
      <c r="AB308" s="13"/>
      <c r="AC308" s="13"/>
    </row>
    <row r="309" spans="1:29" s="3" customFormat="1">
      <c r="A309" s="39"/>
      <c r="B309" s="40"/>
      <c r="C309" s="43"/>
      <c r="R309" s="13"/>
      <c r="S309" s="13"/>
      <c r="T309" s="13"/>
      <c r="U309" s="13"/>
      <c r="V309" s="13"/>
      <c r="W309" s="13"/>
      <c r="X309" s="13"/>
      <c r="Y309" s="13"/>
      <c r="Z309" s="13"/>
      <c r="AA309" s="13"/>
      <c r="AB309" s="13"/>
      <c r="AC309" s="13"/>
    </row>
    <row r="310" spans="1:29" s="3" customFormat="1">
      <c r="A310" s="39"/>
      <c r="B310" s="40"/>
      <c r="C310" s="43"/>
      <c r="R310" s="13"/>
      <c r="S310" s="13"/>
      <c r="T310" s="13"/>
      <c r="U310" s="13"/>
      <c r="V310" s="13"/>
      <c r="W310" s="13"/>
      <c r="X310" s="13"/>
      <c r="Y310" s="13"/>
      <c r="Z310" s="13"/>
      <c r="AA310" s="13"/>
      <c r="AB310" s="13"/>
      <c r="AC310" s="13"/>
    </row>
    <row r="311" spans="1:29" s="3" customFormat="1">
      <c r="A311" s="39"/>
      <c r="B311" s="40"/>
      <c r="C311" s="43"/>
      <c r="R311" s="13"/>
      <c r="S311" s="13"/>
      <c r="T311" s="13"/>
      <c r="U311" s="13"/>
      <c r="V311" s="13"/>
      <c r="W311" s="13"/>
      <c r="X311" s="13"/>
      <c r="Y311" s="13"/>
      <c r="Z311" s="13"/>
      <c r="AA311" s="13"/>
      <c r="AB311" s="13"/>
      <c r="AC311" s="13"/>
    </row>
    <row r="312" spans="1:29" s="3" customFormat="1">
      <c r="A312" s="39"/>
      <c r="B312" s="40"/>
      <c r="C312" s="43"/>
      <c r="R312" s="13"/>
      <c r="S312" s="13"/>
      <c r="T312" s="13"/>
      <c r="U312" s="13"/>
      <c r="V312" s="13"/>
      <c r="W312" s="13"/>
      <c r="X312" s="13"/>
      <c r="Y312" s="13"/>
      <c r="Z312" s="13"/>
      <c r="AA312" s="13"/>
      <c r="AB312" s="13"/>
      <c r="AC312" s="13"/>
    </row>
    <row r="313" spans="1:29" s="3" customFormat="1">
      <c r="A313" s="39"/>
      <c r="B313" s="40"/>
      <c r="C313" s="43"/>
      <c r="R313" s="13"/>
      <c r="S313" s="13"/>
      <c r="T313" s="13"/>
      <c r="U313" s="13"/>
      <c r="V313" s="13"/>
      <c r="W313" s="13"/>
      <c r="X313" s="13"/>
      <c r="Y313" s="13"/>
      <c r="Z313" s="13"/>
      <c r="AA313" s="13"/>
      <c r="AB313" s="13"/>
      <c r="AC313" s="13"/>
    </row>
    <row r="314" spans="1:29" s="3" customFormat="1">
      <c r="A314" s="39"/>
      <c r="B314" s="40"/>
      <c r="C314" s="43"/>
      <c r="R314" s="13"/>
      <c r="S314" s="13"/>
      <c r="T314" s="13"/>
      <c r="U314" s="13"/>
      <c r="V314" s="13"/>
      <c r="W314" s="13"/>
      <c r="X314" s="13"/>
      <c r="Y314" s="13"/>
      <c r="Z314" s="13"/>
      <c r="AA314" s="13"/>
      <c r="AB314" s="13"/>
      <c r="AC314" s="13"/>
    </row>
    <row r="315" spans="1:29" s="3" customFormat="1">
      <c r="A315" s="39"/>
      <c r="B315" s="40"/>
      <c r="C315" s="43"/>
      <c r="R315" s="13"/>
      <c r="S315" s="13"/>
      <c r="T315" s="13"/>
      <c r="U315" s="13"/>
      <c r="V315" s="13"/>
      <c r="W315" s="13"/>
      <c r="X315" s="13"/>
      <c r="Y315" s="13"/>
      <c r="Z315" s="13"/>
      <c r="AA315" s="13"/>
      <c r="AB315" s="13"/>
      <c r="AC315" s="13"/>
    </row>
    <row r="316" spans="1:29" s="3" customFormat="1">
      <c r="A316" s="39"/>
      <c r="B316" s="40"/>
      <c r="C316" s="43"/>
      <c r="R316" s="13"/>
      <c r="S316" s="13"/>
      <c r="T316" s="13"/>
      <c r="U316" s="13"/>
      <c r="V316" s="13"/>
      <c r="W316" s="13"/>
      <c r="X316" s="13"/>
      <c r="Y316" s="13"/>
      <c r="Z316" s="13"/>
      <c r="AA316" s="13"/>
      <c r="AB316" s="13"/>
      <c r="AC316" s="13"/>
    </row>
    <row r="317" spans="1:29" s="3" customFormat="1">
      <c r="A317" s="39"/>
      <c r="B317" s="40"/>
      <c r="C317" s="43"/>
      <c r="R317" s="13"/>
      <c r="S317" s="13"/>
      <c r="T317" s="13"/>
      <c r="U317" s="13"/>
      <c r="V317" s="13"/>
      <c r="W317" s="13"/>
      <c r="X317" s="13"/>
      <c r="Y317" s="13"/>
      <c r="Z317" s="13"/>
      <c r="AA317" s="13"/>
      <c r="AB317" s="13"/>
      <c r="AC317" s="13"/>
    </row>
    <row r="318" spans="1:29" s="3" customFormat="1">
      <c r="A318" s="39"/>
      <c r="B318" s="40"/>
      <c r="C318" s="43"/>
      <c r="R318" s="13"/>
      <c r="S318" s="13"/>
      <c r="T318" s="13"/>
      <c r="U318" s="13"/>
      <c r="V318" s="13"/>
      <c r="W318" s="13"/>
      <c r="X318" s="13"/>
      <c r="Y318" s="13"/>
      <c r="Z318" s="13"/>
      <c r="AA318" s="13"/>
      <c r="AB318" s="13"/>
      <c r="AC318" s="13"/>
    </row>
    <row r="319" spans="1:29" s="3" customFormat="1">
      <c r="A319" s="39"/>
      <c r="B319" s="40"/>
      <c r="C319" s="43"/>
      <c r="R319" s="13"/>
      <c r="S319" s="13"/>
      <c r="T319" s="13"/>
      <c r="U319" s="13"/>
      <c r="V319" s="13"/>
      <c r="W319" s="13"/>
      <c r="X319" s="13"/>
      <c r="Y319" s="13"/>
      <c r="Z319" s="13"/>
      <c r="AA319" s="13"/>
      <c r="AB319" s="13"/>
      <c r="AC319" s="13"/>
    </row>
    <row r="320" spans="1:29" s="3" customFormat="1">
      <c r="A320" s="39"/>
      <c r="B320" s="40"/>
      <c r="C320" s="43"/>
      <c r="R320" s="13"/>
      <c r="S320" s="13"/>
      <c r="T320" s="13"/>
      <c r="U320" s="13"/>
      <c r="V320" s="13"/>
      <c r="W320" s="13"/>
      <c r="X320" s="13"/>
      <c r="Y320" s="13"/>
      <c r="Z320" s="13"/>
      <c r="AA320" s="13"/>
      <c r="AB320" s="13"/>
      <c r="AC320" s="13"/>
    </row>
    <row r="321" spans="1:29" s="3" customFormat="1">
      <c r="A321" s="39"/>
      <c r="B321" s="40"/>
      <c r="C321" s="43"/>
      <c r="R321" s="13"/>
      <c r="S321" s="13"/>
      <c r="T321" s="13"/>
      <c r="U321" s="13"/>
      <c r="V321" s="13"/>
      <c r="W321" s="13"/>
      <c r="X321" s="13"/>
      <c r="Y321" s="13"/>
      <c r="Z321" s="13"/>
      <c r="AA321" s="13"/>
      <c r="AB321" s="13"/>
      <c r="AC321" s="13"/>
    </row>
    <row r="322" spans="1:29" s="3" customFormat="1">
      <c r="A322" s="39"/>
      <c r="B322" s="40"/>
      <c r="C322" s="43"/>
      <c r="R322" s="13"/>
      <c r="S322" s="13"/>
      <c r="T322" s="13"/>
      <c r="U322" s="13"/>
      <c r="V322" s="13"/>
      <c r="W322" s="13"/>
      <c r="X322" s="13"/>
      <c r="Y322" s="13"/>
      <c r="Z322" s="13"/>
      <c r="AA322" s="13"/>
      <c r="AB322" s="13"/>
      <c r="AC322" s="13"/>
    </row>
    <row r="323" spans="1:29" s="3" customFormat="1">
      <c r="A323" s="39"/>
      <c r="B323" s="40"/>
      <c r="C323" s="43"/>
      <c r="R323" s="13"/>
      <c r="S323" s="13"/>
      <c r="T323" s="13"/>
      <c r="U323" s="13"/>
      <c r="V323" s="13"/>
      <c r="W323" s="13"/>
      <c r="X323" s="13"/>
      <c r="Y323" s="13"/>
      <c r="Z323" s="13"/>
      <c r="AA323" s="13"/>
      <c r="AB323" s="13"/>
      <c r="AC323" s="13"/>
    </row>
    <row r="324" spans="1:29" s="3" customFormat="1">
      <c r="A324" s="39"/>
      <c r="B324" s="40"/>
      <c r="C324" s="43"/>
      <c r="R324" s="13"/>
      <c r="S324" s="13"/>
      <c r="T324" s="13"/>
      <c r="U324" s="13"/>
      <c r="V324" s="13"/>
      <c r="W324" s="13"/>
      <c r="X324" s="13"/>
      <c r="Y324" s="13"/>
      <c r="Z324" s="13"/>
      <c r="AA324" s="13"/>
      <c r="AB324" s="13"/>
      <c r="AC324" s="13"/>
    </row>
    <row r="325" spans="1:29" s="3" customFormat="1">
      <c r="A325" s="39"/>
      <c r="B325" s="40"/>
      <c r="C325" s="43"/>
      <c r="R325" s="13"/>
      <c r="S325" s="13"/>
      <c r="T325" s="13"/>
      <c r="U325" s="13"/>
      <c r="V325" s="13"/>
      <c r="W325" s="13"/>
      <c r="X325" s="13"/>
      <c r="Y325" s="13"/>
      <c r="Z325" s="13"/>
      <c r="AA325" s="13"/>
      <c r="AB325" s="13"/>
      <c r="AC325" s="13"/>
    </row>
    <row r="326" spans="1:29" s="3" customFormat="1">
      <c r="A326" s="39"/>
      <c r="B326" s="40"/>
      <c r="C326" s="43"/>
      <c r="R326" s="13"/>
      <c r="S326" s="13"/>
      <c r="T326" s="13"/>
      <c r="U326" s="13"/>
      <c r="V326" s="13"/>
      <c r="W326" s="13"/>
      <c r="X326" s="13"/>
      <c r="Y326" s="13"/>
      <c r="Z326" s="13"/>
      <c r="AA326" s="13"/>
      <c r="AB326" s="13"/>
      <c r="AC326" s="13"/>
    </row>
    <row r="327" spans="1:29" s="3" customFormat="1">
      <c r="A327" s="39"/>
      <c r="B327" s="40"/>
      <c r="C327" s="43"/>
      <c r="R327" s="13"/>
      <c r="S327" s="13"/>
      <c r="T327" s="13"/>
      <c r="U327" s="13"/>
      <c r="V327" s="13"/>
      <c r="W327" s="13"/>
      <c r="X327" s="13"/>
      <c r="Y327" s="13"/>
      <c r="Z327" s="13"/>
      <c r="AA327" s="13"/>
      <c r="AB327" s="13"/>
      <c r="AC327" s="13"/>
    </row>
    <row r="328" spans="1:29" s="3" customFormat="1">
      <c r="A328" s="39"/>
      <c r="B328" s="40"/>
      <c r="C328" s="43"/>
      <c r="R328" s="13"/>
      <c r="S328" s="13"/>
      <c r="T328" s="13"/>
      <c r="U328" s="13"/>
      <c r="V328" s="13"/>
      <c r="W328" s="13"/>
      <c r="X328" s="13"/>
      <c r="Y328" s="13"/>
      <c r="Z328" s="13"/>
      <c r="AA328" s="13"/>
      <c r="AB328" s="13"/>
      <c r="AC328" s="13"/>
    </row>
    <row r="329" spans="1:29" s="3" customFormat="1">
      <c r="A329" s="39"/>
      <c r="B329" s="40"/>
      <c r="C329" s="43"/>
      <c r="R329" s="13"/>
      <c r="S329" s="13"/>
      <c r="T329" s="13"/>
      <c r="U329" s="13"/>
      <c r="V329" s="13"/>
      <c r="W329" s="13"/>
      <c r="X329" s="13"/>
      <c r="Y329" s="13"/>
      <c r="Z329" s="13"/>
      <c r="AA329" s="13"/>
      <c r="AB329" s="13"/>
      <c r="AC329" s="13"/>
    </row>
    <row r="330" spans="1:29" s="3" customFormat="1">
      <c r="A330" s="39"/>
      <c r="B330" s="40"/>
      <c r="C330" s="43"/>
      <c r="R330" s="13"/>
      <c r="S330" s="13"/>
      <c r="T330" s="13"/>
      <c r="U330" s="13"/>
      <c r="V330" s="13"/>
      <c r="W330" s="13"/>
      <c r="X330" s="13"/>
      <c r="Y330" s="13"/>
      <c r="Z330" s="13"/>
      <c r="AA330" s="13"/>
      <c r="AB330" s="13"/>
      <c r="AC330" s="13"/>
    </row>
    <row r="331" spans="1:29" s="3" customFormat="1">
      <c r="A331" s="39"/>
      <c r="B331" s="40"/>
      <c r="C331" s="43"/>
      <c r="R331" s="13"/>
      <c r="S331" s="13"/>
      <c r="T331" s="13"/>
      <c r="U331" s="13"/>
      <c r="V331" s="13"/>
      <c r="W331" s="13"/>
      <c r="X331" s="13"/>
      <c r="Y331" s="13"/>
      <c r="Z331" s="13"/>
      <c r="AA331" s="13"/>
      <c r="AB331" s="13"/>
      <c r="AC331" s="13"/>
    </row>
    <row r="332" spans="1:29" s="3" customFormat="1">
      <c r="A332" s="39"/>
      <c r="B332" s="40"/>
      <c r="C332" s="43"/>
      <c r="R332" s="13"/>
      <c r="S332" s="13"/>
      <c r="T332" s="13"/>
      <c r="U332" s="13"/>
      <c r="V332" s="13"/>
      <c r="W332" s="13"/>
      <c r="X332" s="13"/>
      <c r="Y332" s="13"/>
      <c r="Z332" s="13"/>
      <c r="AA332" s="13"/>
      <c r="AB332" s="13"/>
      <c r="AC332" s="13"/>
    </row>
    <row r="333" spans="1:29" s="3" customFormat="1">
      <c r="A333" s="39"/>
      <c r="B333" s="40"/>
      <c r="C333" s="43"/>
      <c r="R333" s="13"/>
      <c r="S333" s="13"/>
      <c r="T333" s="13"/>
      <c r="U333" s="13"/>
      <c r="V333" s="13"/>
      <c r="W333" s="13"/>
      <c r="X333" s="13"/>
      <c r="Y333" s="13"/>
      <c r="Z333" s="13"/>
      <c r="AA333" s="13"/>
      <c r="AB333" s="13"/>
      <c r="AC333" s="13"/>
    </row>
    <row r="334" spans="1:29" s="3" customFormat="1">
      <c r="A334" s="39"/>
      <c r="B334" s="40"/>
      <c r="C334" s="43"/>
      <c r="R334" s="13"/>
      <c r="S334" s="13"/>
      <c r="T334" s="13"/>
      <c r="U334" s="13"/>
      <c r="V334" s="13"/>
      <c r="W334" s="13"/>
      <c r="X334" s="13"/>
      <c r="Y334" s="13"/>
      <c r="Z334" s="13"/>
      <c r="AA334" s="13"/>
      <c r="AB334" s="13"/>
      <c r="AC334" s="13"/>
    </row>
    <row r="335" spans="1:29" s="3" customFormat="1">
      <c r="A335" s="39"/>
      <c r="B335" s="40"/>
      <c r="C335" s="43"/>
      <c r="R335" s="13"/>
      <c r="S335" s="13"/>
      <c r="T335" s="13"/>
      <c r="U335" s="13"/>
      <c r="V335" s="13"/>
      <c r="W335" s="13"/>
      <c r="X335" s="13"/>
      <c r="Y335" s="13"/>
      <c r="Z335" s="13"/>
      <c r="AA335" s="13"/>
      <c r="AB335" s="13"/>
      <c r="AC335" s="13"/>
    </row>
    <row r="336" spans="1:29" s="3" customFormat="1">
      <c r="A336" s="39"/>
      <c r="B336" s="40"/>
      <c r="C336" s="43"/>
      <c r="R336" s="13"/>
      <c r="S336" s="13"/>
      <c r="T336" s="13"/>
      <c r="U336" s="13"/>
      <c r="V336" s="13"/>
      <c r="W336" s="13"/>
      <c r="X336" s="13"/>
      <c r="Y336" s="13"/>
      <c r="Z336" s="13"/>
      <c r="AA336" s="13"/>
      <c r="AB336" s="13"/>
      <c r="AC336" s="13"/>
    </row>
    <row r="337" spans="1:29" s="3" customFormat="1">
      <c r="A337" s="39"/>
      <c r="B337" s="40"/>
      <c r="C337" s="43"/>
      <c r="R337" s="13"/>
      <c r="S337" s="13"/>
      <c r="T337" s="13"/>
      <c r="U337" s="13"/>
      <c r="V337" s="13"/>
      <c r="W337" s="13"/>
      <c r="X337" s="13"/>
      <c r="Y337" s="13"/>
      <c r="Z337" s="13"/>
      <c r="AA337" s="13"/>
      <c r="AB337" s="13"/>
      <c r="AC337" s="13"/>
    </row>
    <row r="338" spans="1:29" s="3" customFormat="1">
      <c r="A338" s="39"/>
      <c r="B338" s="40"/>
      <c r="C338" s="43"/>
      <c r="R338" s="13"/>
      <c r="S338" s="13"/>
      <c r="T338" s="13"/>
      <c r="U338" s="13"/>
      <c r="V338" s="13"/>
      <c r="W338" s="13"/>
      <c r="X338" s="13"/>
      <c r="Y338" s="13"/>
      <c r="Z338" s="13"/>
      <c r="AA338" s="13"/>
      <c r="AB338" s="13"/>
      <c r="AC338" s="13"/>
    </row>
    <row r="339" spans="1:29" s="3" customFormat="1">
      <c r="A339" s="39"/>
      <c r="B339" s="40"/>
      <c r="C339" s="43"/>
      <c r="R339" s="13"/>
      <c r="S339" s="13"/>
      <c r="T339" s="13"/>
      <c r="U339" s="13"/>
      <c r="V339" s="13"/>
      <c r="W339" s="13"/>
      <c r="X339" s="13"/>
      <c r="Y339" s="13"/>
      <c r="Z339" s="13"/>
      <c r="AA339" s="13"/>
      <c r="AB339" s="13"/>
      <c r="AC339" s="13"/>
    </row>
    <row r="340" spans="1:29" s="3" customFormat="1">
      <c r="A340" s="39"/>
      <c r="B340" s="40"/>
      <c r="C340" s="43"/>
      <c r="R340" s="13"/>
      <c r="S340" s="13"/>
      <c r="T340" s="13"/>
      <c r="U340" s="13"/>
      <c r="V340" s="13"/>
      <c r="W340" s="13"/>
      <c r="X340" s="13"/>
      <c r="Y340" s="13"/>
      <c r="Z340" s="13"/>
      <c r="AA340" s="13"/>
      <c r="AB340" s="13"/>
      <c r="AC340" s="13"/>
    </row>
    <row r="341" spans="1:29" s="3" customFormat="1">
      <c r="A341" s="39"/>
      <c r="B341" s="40"/>
      <c r="C341" s="43"/>
      <c r="R341" s="13"/>
      <c r="S341" s="13"/>
      <c r="T341" s="13"/>
      <c r="U341" s="13"/>
      <c r="V341" s="13"/>
      <c r="W341" s="13"/>
      <c r="X341" s="13"/>
      <c r="Y341" s="13"/>
      <c r="Z341" s="13"/>
      <c r="AA341" s="13"/>
      <c r="AB341" s="13"/>
      <c r="AC341" s="13"/>
    </row>
    <row r="342" spans="1:29" s="3" customFormat="1">
      <c r="A342" s="39"/>
      <c r="B342" s="40"/>
      <c r="C342" s="43"/>
      <c r="R342" s="13"/>
      <c r="S342" s="13"/>
      <c r="T342" s="13"/>
      <c r="U342" s="13"/>
      <c r="V342" s="13"/>
      <c r="W342" s="13"/>
      <c r="X342" s="13"/>
      <c r="Y342" s="13"/>
      <c r="Z342" s="13"/>
      <c r="AA342" s="13"/>
      <c r="AB342" s="13"/>
      <c r="AC342" s="13"/>
    </row>
    <row r="343" spans="1:29" s="3" customFormat="1">
      <c r="A343" s="39"/>
      <c r="B343" s="40"/>
      <c r="C343" s="43"/>
      <c r="R343" s="13"/>
      <c r="S343" s="13"/>
      <c r="T343" s="13"/>
      <c r="U343" s="13"/>
      <c r="V343" s="13"/>
      <c r="W343" s="13"/>
      <c r="X343" s="13"/>
      <c r="Y343" s="13"/>
      <c r="Z343" s="13"/>
      <c r="AA343" s="13"/>
      <c r="AB343" s="13"/>
      <c r="AC343" s="13"/>
    </row>
    <row r="344" spans="1:29" s="3" customFormat="1">
      <c r="A344" s="39"/>
      <c r="B344" s="40"/>
      <c r="C344" s="43"/>
      <c r="R344" s="13"/>
      <c r="S344" s="13"/>
      <c r="T344" s="13"/>
      <c r="U344" s="13"/>
      <c r="V344" s="13"/>
      <c r="W344" s="13"/>
      <c r="X344" s="13"/>
      <c r="Y344" s="13"/>
      <c r="Z344" s="13"/>
      <c r="AA344" s="13"/>
      <c r="AB344" s="13"/>
      <c r="AC344" s="13"/>
    </row>
    <row r="345" spans="1:29" s="3" customFormat="1">
      <c r="A345" s="39"/>
      <c r="B345" s="40"/>
      <c r="C345" s="43"/>
      <c r="R345" s="13"/>
      <c r="S345" s="13"/>
      <c r="T345" s="13"/>
      <c r="U345" s="13"/>
      <c r="V345" s="13"/>
      <c r="W345" s="13"/>
      <c r="X345" s="13"/>
      <c r="Y345" s="13"/>
      <c r="Z345" s="13"/>
      <c r="AA345" s="13"/>
      <c r="AB345" s="13"/>
      <c r="AC345" s="13"/>
    </row>
    <row r="346" spans="1:29" s="3" customFormat="1">
      <c r="A346" s="39"/>
      <c r="B346" s="40"/>
      <c r="C346" s="43"/>
      <c r="R346" s="13"/>
      <c r="S346" s="13"/>
      <c r="T346" s="13"/>
      <c r="U346" s="13"/>
      <c r="V346" s="13"/>
      <c r="W346" s="13"/>
      <c r="X346" s="13"/>
      <c r="Y346" s="13"/>
      <c r="Z346" s="13"/>
      <c r="AA346" s="13"/>
      <c r="AB346" s="13"/>
      <c r="AC346" s="13"/>
    </row>
    <row r="347" spans="1:29" s="3" customFormat="1">
      <c r="A347" s="39"/>
      <c r="B347" s="40"/>
      <c r="C347" s="43"/>
      <c r="R347" s="13"/>
      <c r="S347" s="13"/>
      <c r="T347" s="13"/>
      <c r="U347" s="13"/>
      <c r="V347" s="13"/>
      <c r="W347" s="13"/>
      <c r="X347" s="13"/>
      <c r="Y347" s="13"/>
      <c r="Z347" s="13"/>
      <c r="AA347" s="13"/>
      <c r="AB347" s="13"/>
      <c r="AC347" s="13"/>
    </row>
    <row r="348" spans="1:29" s="3" customFormat="1">
      <c r="A348" s="39"/>
      <c r="B348" s="40"/>
      <c r="C348" s="43"/>
      <c r="R348" s="13"/>
      <c r="S348" s="13"/>
      <c r="T348" s="13"/>
      <c r="U348" s="13"/>
      <c r="V348" s="13"/>
      <c r="W348" s="13"/>
      <c r="X348" s="13"/>
      <c r="Y348" s="13"/>
      <c r="Z348" s="13"/>
      <c r="AA348" s="13"/>
      <c r="AB348" s="13"/>
      <c r="AC348" s="13"/>
    </row>
    <row r="349" spans="1:29" s="3" customFormat="1">
      <c r="A349" s="39"/>
      <c r="B349" s="40"/>
      <c r="C349" s="43"/>
      <c r="R349" s="13"/>
      <c r="S349" s="13"/>
      <c r="T349" s="13"/>
      <c r="U349" s="13"/>
      <c r="V349" s="13"/>
      <c r="W349" s="13"/>
      <c r="X349" s="13"/>
      <c r="Y349" s="13"/>
      <c r="Z349" s="13"/>
      <c r="AA349" s="13"/>
      <c r="AB349" s="13"/>
      <c r="AC349" s="13"/>
    </row>
    <row r="350" spans="1:29" s="3" customFormat="1">
      <c r="A350" s="39"/>
      <c r="B350" s="40"/>
      <c r="C350" s="43"/>
      <c r="R350" s="13"/>
      <c r="S350" s="13"/>
      <c r="T350" s="13"/>
      <c r="U350" s="13"/>
      <c r="V350" s="13"/>
      <c r="W350" s="13"/>
      <c r="X350" s="13"/>
      <c r="Y350" s="13"/>
      <c r="Z350" s="13"/>
      <c r="AA350" s="13"/>
      <c r="AB350" s="13"/>
      <c r="AC350" s="13"/>
    </row>
    <row r="351" spans="1:29" s="3" customFormat="1">
      <c r="A351" s="39"/>
      <c r="B351" s="40"/>
      <c r="C351" s="43"/>
      <c r="R351" s="13"/>
      <c r="S351" s="13"/>
      <c r="T351" s="13"/>
      <c r="U351" s="13"/>
      <c r="V351" s="13"/>
      <c r="W351" s="13"/>
      <c r="X351" s="13"/>
      <c r="Y351" s="13"/>
      <c r="Z351" s="13"/>
      <c r="AA351" s="13"/>
      <c r="AB351" s="13"/>
      <c r="AC351" s="13"/>
    </row>
    <row r="352" spans="1:29" s="3" customFormat="1">
      <c r="A352" s="39"/>
      <c r="B352" s="40"/>
      <c r="C352" s="43"/>
      <c r="R352" s="13"/>
      <c r="S352" s="13"/>
      <c r="T352" s="13"/>
      <c r="U352" s="13"/>
      <c r="V352" s="13"/>
      <c r="W352" s="13"/>
      <c r="X352" s="13"/>
      <c r="Y352" s="13"/>
      <c r="Z352" s="13"/>
      <c r="AA352" s="13"/>
      <c r="AB352" s="13"/>
      <c r="AC352" s="13"/>
    </row>
    <row r="353" spans="1:29" s="3" customFormat="1">
      <c r="A353" s="39"/>
      <c r="B353" s="40"/>
      <c r="C353" s="43"/>
      <c r="R353" s="13"/>
      <c r="S353" s="13"/>
      <c r="T353" s="13"/>
      <c r="U353" s="13"/>
      <c r="V353" s="13"/>
      <c r="W353" s="13"/>
      <c r="X353" s="13"/>
      <c r="Y353" s="13"/>
      <c r="Z353" s="13"/>
      <c r="AA353" s="13"/>
      <c r="AB353" s="13"/>
      <c r="AC353" s="13"/>
    </row>
    <row r="354" spans="1:29" s="3" customFormat="1">
      <c r="A354" s="39"/>
      <c r="B354" s="40"/>
      <c r="C354" s="43"/>
      <c r="R354" s="13"/>
      <c r="S354" s="13"/>
      <c r="T354" s="13"/>
      <c r="U354" s="13"/>
      <c r="V354" s="13"/>
      <c r="W354" s="13"/>
      <c r="X354" s="13"/>
      <c r="Y354" s="13"/>
      <c r="Z354" s="13"/>
      <c r="AA354" s="13"/>
      <c r="AB354" s="13"/>
      <c r="AC354" s="13"/>
    </row>
    <row r="355" spans="1:29" s="3" customFormat="1">
      <c r="A355" s="39"/>
      <c r="B355" s="40"/>
      <c r="C355" s="43"/>
      <c r="R355" s="13"/>
      <c r="S355" s="13"/>
      <c r="T355" s="13"/>
      <c r="U355" s="13"/>
      <c r="V355" s="13"/>
      <c r="W355" s="13"/>
      <c r="X355" s="13"/>
      <c r="Y355" s="13"/>
      <c r="Z355" s="13"/>
      <c r="AA355" s="13"/>
      <c r="AB355" s="13"/>
      <c r="AC355" s="13"/>
    </row>
    <row r="356" spans="1:29" s="3" customFormat="1">
      <c r="A356" s="39"/>
      <c r="B356" s="40"/>
      <c r="C356" s="43"/>
      <c r="R356" s="13"/>
      <c r="S356" s="13"/>
      <c r="T356" s="13"/>
      <c r="U356" s="13"/>
      <c r="V356" s="13"/>
      <c r="W356" s="13"/>
      <c r="X356" s="13"/>
      <c r="Y356" s="13"/>
      <c r="Z356" s="13"/>
      <c r="AA356" s="13"/>
      <c r="AB356" s="13"/>
      <c r="AC356" s="13"/>
    </row>
    <row r="357" spans="1:29" s="3" customFormat="1">
      <c r="A357" s="39"/>
      <c r="B357" s="40"/>
      <c r="C357" s="43"/>
      <c r="R357" s="13"/>
      <c r="S357" s="13"/>
      <c r="T357" s="13"/>
      <c r="U357" s="13"/>
      <c r="V357" s="13"/>
      <c r="W357" s="13"/>
      <c r="X357" s="13"/>
      <c r="Y357" s="13"/>
      <c r="Z357" s="13"/>
      <c r="AA357" s="13"/>
      <c r="AB357" s="13"/>
      <c r="AC357" s="13"/>
    </row>
    <row r="358" spans="1:29" s="3" customFormat="1">
      <c r="A358" s="39"/>
      <c r="B358" s="40"/>
      <c r="C358" s="43"/>
      <c r="R358" s="13"/>
      <c r="S358" s="13"/>
      <c r="T358" s="13"/>
      <c r="U358" s="13"/>
      <c r="V358" s="13"/>
      <c r="W358" s="13"/>
      <c r="X358" s="13"/>
      <c r="Y358" s="13"/>
      <c r="Z358" s="13"/>
      <c r="AA358" s="13"/>
      <c r="AB358" s="13"/>
      <c r="AC358" s="13"/>
    </row>
    <row r="359" spans="1:29" s="3" customFormat="1">
      <c r="A359" s="39"/>
      <c r="B359" s="40"/>
      <c r="C359" s="43"/>
      <c r="R359" s="13"/>
      <c r="S359" s="13"/>
      <c r="T359" s="13"/>
      <c r="U359" s="13"/>
      <c r="V359" s="13"/>
      <c r="W359" s="13"/>
      <c r="X359" s="13"/>
      <c r="Y359" s="13"/>
      <c r="Z359" s="13"/>
      <c r="AA359" s="13"/>
      <c r="AB359" s="13"/>
      <c r="AC359" s="13"/>
    </row>
    <row r="360" spans="1:29" s="3" customFormat="1">
      <c r="A360" s="39"/>
      <c r="B360" s="40"/>
      <c r="C360" s="43"/>
      <c r="R360" s="13"/>
      <c r="S360" s="13"/>
      <c r="T360" s="13"/>
      <c r="U360" s="13"/>
      <c r="V360" s="13"/>
      <c r="W360" s="13"/>
      <c r="X360" s="13"/>
      <c r="Y360" s="13"/>
      <c r="Z360" s="13"/>
      <c r="AA360" s="13"/>
      <c r="AB360" s="13"/>
      <c r="AC360" s="13"/>
    </row>
    <row r="361" spans="1:29" s="3" customFormat="1">
      <c r="A361" s="39"/>
      <c r="B361" s="40"/>
      <c r="C361" s="43"/>
      <c r="R361" s="13"/>
      <c r="S361" s="13"/>
      <c r="T361" s="13"/>
      <c r="U361" s="13"/>
      <c r="V361" s="13"/>
      <c r="W361" s="13"/>
      <c r="X361" s="13"/>
      <c r="Y361" s="13"/>
      <c r="Z361" s="13"/>
      <c r="AA361" s="13"/>
      <c r="AB361" s="13"/>
      <c r="AC361" s="13"/>
    </row>
    <row r="362" spans="1:29" s="3" customFormat="1">
      <c r="A362" s="39"/>
      <c r="B362" s="40"/>
      <c r="C362" s="43"/>
      <c r="R362" s="13"/>
      <c r="S362" s="13"/>
      <c r="T362" s="13"/>
      <c r="U362" s="13"/>
      <c r="V362" s="13"/>
      <c r="W362" s="13"/>
      <c r="X362" s="13"/>
      <c r="Y362" s="13"/>
      <c r="Z362" s="13"/>
      <c r="AA362" s="13"/>
      <c r="AB362" s="13"/>
      <c r="AC362" s="13"/>
    </row>
    <row r="363" spans="1:29" s="3" customFormat="1">
      <c r="A363" s="39"/>
      <c r="B363" s="40"/>
      <c r="C363" s="43"/>
      <c r="R363" s="13"/>
      <c r="S363" s="13"/>
      <c r="T363" s="13"/>
      <c r="U363" s="13"/>
      <c r="V363" s="13"/>
      <c r="W363" s="13"/>
      <c r="X363" s="13"/>
      <c r="Y363" s="13"/>
      <c r="Z363" s="13"/>
      <c r="AA363" s="13"/>
      <c r="AB363" s="13"/>
      <c r="AC363" s="13"/>
    </row>
    <row r="364" spans="1:29" s="3" customFormat="1">
      <c r="A364" s="39"/>
      <c r="B364" s="40"/>
      <c r="C364" s="43"/>
      <c r="R364" s="13"/>
      <c r="S364" s="13"/>
      <c r="T364" s="13"/>
      <c r="U364" s="13"/>
      <c r="V364" s="13"/>
      <c r="W364" s="13"/>
      <c r="X364" s="13"/>
      <c r="Y364" s="13"/>
      <c r="Z364" s="13"/>
      <c r="AA364" s="13"/>
      <c r="AB364" s="13"/>
      <c r="AC364" s="13"/>
    </row>
    <row r="365" spans="1:29" s="3" customFormat="1">
      <c r="A365" s="39"/>
      <c r="B365" s="40"/>
      <c r="C365" s="43"/>
      <c r="R365" s="13"/>
      <c r="S365" s="13"/>
      <c r="T365" s="13"/>
      <c r="U365" s="13"/>
      <c r="V365" s="13"/>
      <c r="W365" s="13"/>
      <c r="X365" s="13"/>
      <c r="Y365" s="13"/>
      <c r="Z365" s="13"/>
      <c r="AA365" s="13"/>
      <c r="AB365" s="13"/>
      <c r="AC365" s="13"/>
    </row>
    <row r="366" spans="1:29" s="3" customFormat="1">
      <c r="A366" s="39"/>
      <c r="B366" s="40"/>
      <c r="C366" s="43"/>
      <c r="R366" s="13"/>
      <c r="S366" s="13"/>
      <c r="T366" s="13"/>
      <c r="U366" s="13"/>
      <c r="V366" s="13"/>
      <c r="W366" s="13"/>
      <c r="X366" s="13"/>
      <c r="Y366" s="13"/>
      <c r="Z366" s="13"/>
      <c r="AA366" s="13"/>
      <c r="AB366" s="13"/>
      <c r="AC366" s="13"/>
    </row>
    <row r="367" spans="1:29" s="3" customFormat="1">
      <c r="A367" s="39"/>
      <c r="B367" s="40"/>
      <c r="C367" s="43"/>
      <c r="R367" s="13"/>
      <c r="S367" s="13"/>
      <c r="T367" s="13"/>
      <c r="U367" s="13"/>
      <c r="V367" s="13"/>
      <c r="W367" s="13"/>
      <c r="X367" s="13"/>
      <c r="Y367" s="13"/>
      <c r="Z367" s="13"/>
      <c r="AA367" s="13"/>
      <c r="AB367" s="13"/>
      <c r="AC367" s="13"/>
    </row>
    <row r="368" spans="1:29" s="3" customFormat="1">
      <c r="A368" s="39"/>
      <c r="B368" s="40"/>
      <c r="C368" s="43"/>
      <c r="R368" s="13"/>
      <c r="S368" s="13"/>
      <c r="T368" s="13"/>
      <c r="U368" s="13"/>
      <c r="V368" s="13"/>
      <c r="W368" s="13"/>
      <c r="X368" s="13"/>
      <c r="Y368" s="13"/>
      <c r="Z368" s="13"/>
      <c r="AA368" s="13"/>
      <c r="AB368" s="13"/>
      <c r="AC368" s="13"/>
    </row>
    <row r="369" spans="1:29" s="3" customFormat="1">
      <c r="A369" s="39"/>
      <c r="B369" s="40"/>
      <c r="C369" s="43"/>
      <c r="R369" s="13"/>
      <c r="S369" s="13"/>
      <c r="T369" s="13"/>
      <c r="U369" s="13"/>
      <c r="V369" s="13"/>
      <c r="W369" s="13"/>
      <c r="X369" s="13"/>
      <c r="Y369" s="13"/>
      <c r="Z369" s="13"/>
      <c r="AA369" s="13"/>
      <c r="AB369" s="13"/>
      <c r="AC369" s="13"/>
    </row>
    <row r="370" spans="1:29" s="3" customFormat="1">
      <c r="A370" s="39"/>
      <c r="B370" s="40"/>
      <c r="C370" s="43"/>
      <c r="R370" s="13"/>
      <c r="S370" s="13"/>
      <c r="T370" s="13"/>
      <c r="U370" s="13"/>
      <c r="V370" s="13"/>
      <c r="W370" s="13"/>
      <c r="X370" s="13"/>
      <c r="Y370" s="13"/>
      <c r="Z370" s="13"/>
      <c r="AA370" s="13"/>
      <c r="AB370" s="13"/>
      <c r="AC370" s="13"/>
    </row>
    <row r="371" spans="1:29" s="3" customFormat="1">
      <c r="A371" s="39"/>
      <c r="B371" s="40"/>
      <c r="C371" s="43"/>
      <c r="R371" s="13"/>
      <c r="S371" s="13"/>
      <c r="T371" s="13"/>
      <c r="U371" s="13"/>
      <c r="V371" s="13"/>
      <c r="W371" s="13"/>
      <c r="X371" s="13"/>
      <c r="Y371" s="13"/>
      <c r="Z371" s="13"/>
      <c r="AA371" s="13"/>
      <c r="AB371" s="13"/>
      <c r="AC371" s="13"/>
    </row>
    <row r="372" spans="1:29" s="3" customFormat="1">
      <c r="A372" s="39"/>
      <c r="B372" s="40"/>
      <c r="C372" s="43"/>
      <c r="R372" s="13"/>
      <c r="S372" s="13"/>
      <c r="T372" s="13"/>
      <c r="U372" s="13"/>
      <c r="V372" s="13"/>
      <c r="W372" s="13"/>
      <c r="X372" s="13"/>
      <c r="Y372" s="13"/>
      <c r="Z372" s="13"/>
      <c r="AA372" s="13"/>
      <c r="AB372" s="13"/>
      <c r="AC372" s="13"/>
    </row>
    <row r="373" spans="1:29" s="3" customFormat="1">
      <c r="A373" s="39"/>
      <c r="B373" s="40"/>
      <c r="C373" s="43"/>
      <c r="R373" s="13"/>
      <c r="S373" s="13"/>
      <c r="T373" s="13"/>
      <c r="U373" s="13"/>
      <c r="V373" s="13"/>
      <c r="W373" s="13"/>
      <c r="X373" s="13"/>
      <c r="Y373" s="13"/>
      <c r="Z373" s="13"/>
      <c r="AA373" s="13"/>
      <c r="AB373" s="13"/>
      <c r="AC373" s="13"/>
    </row>
    <row r="374" spans="1:29" s="3" customFormat="1">
      <c r="A374" s="39"/>
      <c r="B374" s="40"/>
      <c r="C374" s="43"/>
      <c r="R374" s="13"/>
      <c r="S374" s="13"/>
      <c r="T374" s="13"/>
      <c r="U374" s="13"/>
      <c r="V374" s="13"/>
      <c r="W374" s="13"/>
      <c r="X374" s="13"/>
      <c r="Y374" s="13"/>
      <c r="Z374" s="13"/>
      <c r="AA374" s="13"/>
      <c r="AB374" s="13"/>
      <c r="AC374" s="13"/>
    </row>
    <row r="375" spans="1:29" s="3" customFormat="1">
      <c r="A375" s="39"/>
      <c r="B375" s="40"/>
      <c r="C375" s="43"/>
      <c r="R375" s="13"/>
      <c r="S375" s="13"/>
      <c r="T375" s="13"/>
      <c r="U375" s="13"/>
      <c r="V375" s="13"/>
      <c r="W375" s="13"/>
      <c r="X375" s="13"/>
      <c r="Y375" s="13"/>
      <c r="Z375" s="13"/>
      <c r="AA375" s="13"/>
      <c r="AB375" s="13"/>
      <c r="AC375" s="13"/>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M88"/>
  <sheetViews>
    <sheetView zoomScalePageLayoutView="75" workbookViewId="0">
      <selection activeCell="I27" sqref="I27"/>
    </sheetView>
  </sheetViews>
  <sheetFormatPr defaultColWidth="9.140625" defaultRowHeight="16.5"/>
  <cols>
    <col min="1" max="1" width="6.140625" style="148" customWidth="1"/>
    <col min="2" max="2" width="43.28515625" style="143" customWidth="1"/>
    <col min="3" max="3" width="12.28515625" style="143" customWidth="1"/>
    <col min="4" max="4" width="9.7109375" style="143" customWidth="1"/>
    <col min="5" max="5" width="10.140625" style="143" customWidth="1"/>
    <col min="6" max="7" width="9.28515625" style="143" customWidth="1"/>
    <col min="8" max="8" width="15.7109375" style="143" customWidth="1"/>
    <col min="9" max="9" width="17.5703125" style="143" customWidth="1"/>
    <col min="10" max="10" width="9" style="143" customWidth="1"/>
    <col min="11" max="11" width="11.28515625" style="143" customWidth="1"/>
    <col min="12" max="12" width="10.7109375" style="143" customWidth="1"/>
    <col min="13" max="16384" width="9.140625" style="143"/>
  </cols>
  <sheetData>
    <row r="1" spans="1:13" s="140" customFormat="1" ht="26.25" customHeight="1">
      <c r="A1" s="787" t="s">
        <v>155</v>
      </c>
      <c r="B1" s="787"/>
      <c r="C1" s="787"/>
      <c r="D1" s="787"/>
      <c r="E1" s="787"/>
      <c r="F1" s="787"/>
      <c r="G1" s="138"/>
      <c r="H1" s="139" t="s">
        <v>0</v>
      </c>
      <c r="I1" s="139"/>
      <c r="J1" s="138"/>
      <c r="K1" s="138"/>
      <c r="L1" s="138"/>
      <c r="M1" s="138"/>
    </row>
    <row r="2" spans="1:13" s="140" customFormat="1" ht="38.25" customHeight="1">
      <c r="A2" s="788" t="s">
        <v>142</v>
      </c>
      <c r="B2" s="788"/>
      <c r="C2" s="788"/>
      <c r="D2" s="788"/>
      <c r="E2" s="788"/>
      <c r="F2" s="788"/>
      <c r="G2" s="141"/>
      <c r="H2" s="142" t="s">
        <v>2</v>
      </c>
      <c r="I2" s="142"/>
      <c r="J2" s="141"/>
      <c r="K2" s="141"/>
      <c r="L2" s="141"/>
      <c r="M2" s="141"/>
    </row>
    <row r="3" spans="1:13" ht="25.5" customHeight="1">
      <c r="A3" s="789" t="s">
        <v>156</v>
      </c>
      <c r="B3" s="789"/>
      <c r="C3" s="789"/>
      <c r="D3" s="789"/>
      <c r="E3" s="789"/>
      <c r="F3" s="789"/>
      <c r="G3" s="789"/>
      <c r="H3" s="789"/>
      <c r="I3" s="789"/>
      <c r="J3" s="789"/>
      <c r="K3" s="789"/>
      <c r="L3" s="789"/>
      <c r="M3" s="789"/>
    </row>
    <row r="4" spans="1:13" s="140" customFormat="1" ht="26.25" customHeight="1">
      <c r="A4" s="787" t="s">
        <v>157</v>
      </c>
      <c r="B4" s="787"/>
      <c r="C4" s="787"/>
      <c r="D4" s="787"/>
      <c r="E4" s="787"/>
      <c r="F4" s="787"/>
      <c r="G4" s="787"/>
      <c r="H4" s="787"/>
      <c r="I4" s="787"/>
      <c r="J4" s="787"/>
      <c r="K4" s="787"/>
      <c r="L4" s="787"/>
      <c r="M4" s="787"/>
    </row>
    <row r="5" spans="1:13" s="145" customFormat="1" ht="29.25" customHeight="1">
      <c r="A5" s="144"/>
      <c r="B5" s="141"/>
      <c r="C5" s="141"/>
      <c r="D5" s="141"/>
      <c r="E5" s="141"/>
      <c r="F5" s="141"/>
      <c r="G5" s="790" t="s">
        <v>3</v>
      </c>
      <c r="H5" s="790"/>
      <c r="I5" s="790"/>
      <c r="J5" s="790"/>
      <c r="K5" s="790"/>
      <c r="L5" s="790"/>
      <c r="M5" s="790"/>
    </row>
    <row r="6" spans="1:13" s="146" customFormat="1" ht="37.5" customHeight="1">
      <c r="A6" s="786" t="s">
        <v>4</v>
      </c>
      <c r="B6" s="786" t="s">
        <v>158</v>
      </c>
      <c r="C6" s="791" t="s">
        <v>159</v>
      </c>
      <c r="D6" s="792"/>
      <c r="E6" s="792"/>
      <c r="F6" s="793"/>
      <c r="G6" s="791" t="s">
        <v>160</v>
      </c>
      <c r="H6" s="792"/>
      <c r="I6" s="792"/>
      <c r="J6" s="792"/>
      <c r="K6" s="792"/>
      <c r="L6" s="793"/>
      <c r="M6" s="784" t="s">
        <v>7</v>
      </c>
    </row>
    <row r="7" spans="1:13" s="146" customFormat="1" ht="31.5" customHeight="1">
      <c r="A7" s="786"/>
      <c r="B7" s="786"/>
      <c r="C7" s="784" t="s">
        <v>161</v>
      </c>
      <c r="D7" s="786" t="s">
        <v>162</v>
      </c>
      <c r="E7" s="786"/>
      <c r="F7" s="786"/>
      <c r="G7" s="786" t="s">
        <v>161</v>
      </c>
      <c r="H7" s="786"/>
      <c r="I7" s="786"/>
      <c r="J7" s="786" t="s">
        <v>162</v>
      </c>
      <c r="K7" s="786"/>
      <c r="L7" s="786"/>
      <c r="M7" s="794"/>
    </row>
    <row r="8" spans="1:13" s="146" customFormat="1" ht="93.75" customHeight="1">
      <c r="A8" s="786"/>
      <c r="B8" s="786"/>
      <c r="C8" s="785"/>
      <c r="D8" s="147" t="s">
        <v>9</v>
      </c>
      <c r="E8" s="147" t="s">
        <v>10</v>
      </c>
      <c r="F8" s="147" t="s">
        <v>11</v>
      </c>
      <c r="G8" s="147" t="s">
        <v>9</v>
      </c>
      <c r="H8" s="147" t="s">
        <v>163</v>
      </c>
      <c r="I8" s="147" t="s">
        <v>164</v>
      </c>
      <c r="J8" s="147" t="s">
        <v>9</v>
      </c>
      <c r="K8" s="147" t="s">
        <v>10</v>
      </c>
      <c r="L8" s="147" t="s">
        <v>11</v>
      </c>
      <c r="M8" s="785"/>
    </row>
    <row r="9" spans="1:13" s="148" customFormat="1" ht="21" customHeight="1">
      <c r="A9" s="147">
        <v>1</v>
      </c>
      <c r="B9" s="147">
        <v>2</v>
      </c>
      <c r="C9" s="147">
        <v>3</v>
      </c>
      <c r="D9" s="147">
        <v>4</v>
      </c>
      <c r="E9" s="147">
        <v>5</v>
      </c>
      <c r="F9" s="147">
        <v>6</v>
      </c>
      <c r="G9" s="147">
        <v>7</v>
      </c>
      <c r="H9" s="147">
        <v>8</v>
      </c>
      <c r="I9" s="147">
        <v>9</v>
      </c>
      <c r="J9" s="147">
        <v>10</v>
      </c>
      <c r="K9" s="147">
        <v>11</v>
      </c>
      <c r="L9" s="147">
        <v>12</v>
      </c>
      <c r="M9" s="147">
        <v>13</v>
      </c>
    </row>
    <row r="10" spans="1:13" hidden="1">
      <c r="A10" s="147"/>
      <c r="B10" s="147"/>
      <c r="C10" s="147"/>
      <c r="D10" s="147"/>
      <c r="E10" s="147"/>
      <c r="F10" s="147"/>
      <c r="G10" s="147"/>
      <c r="H10" s="147"/>
      <c r="I10" s="147"/>
      <c r="J10" s="149"/>
      <c r="K10" s="149"/>
      <c r="L10" s="149"/>
      <c r="M10" s="149"/>
    </row>
    <row r="11" spans="1:13" ht="23.25" customHeight="1">
      <c r="A11" s="147"/>
      <c r="B11" s="150" t="s">
        <v>165</v>
      </c>
      <c r="C11" s="150"/>
      <c r="D11" s="151"/>
      <c r="E11" s="151"/>
      <c r="F11" s="151"/>
      <c r="G11" s="151"/>
      <c r="H11" s="151"/>
      <c r="I11" s="151"/>
      <c r="J11" s="149"/>
      <c r="K11" s="149"/>
      <c r="L11" s="149"/>
      <c r="M11" s="149"/>
    </row>
    <row r="12" spans="1:13" ht="33" customHeight="1">
      <c r="A12" s="150" t="s">
        <v>32</v>
      </c>
      <c r="B12" s="152" t="s">
        <v>166</v>
      </c>
      <c r="C12" s="152"/>
      <c r="D12" s="151"/>
      <c r="E12" s="151"/>
      <c r="F12" s="151"/>
      <c r="G12" s="151"/>
      <c r="H12" s="151"/>
      <c r="I12" s="151"/>
      <c r="J12" s="149"/>
      <c r="K12" s="149"/>
      <c r="L12" s="149"/>
      <c r="M12" s="149"/>
    </row>
    <row r="13" spans="1:13" ht="36" customHeight="1">
      <c r="A13" s="150">
        <v>1</v>
      </c>
      <c r="B13" s="153" t="s">
        <v>167</v>
      </c>
      <c r="C13" s="154"/>
      <c r="D13" s="151"/>
      <c r="E13" s="151"/>
      <c r="F13" s="151"/>
      <c r="G13" s="151"/>
      <c r="H13" s="151"/>
      <c r="I13" s="151"/>
      <c r="J13" s="149"/>
      <c r="K13" s="149"/>
      <c r="L13" s="149"/>
      <c r="M13" s="149"/>
    </row>
    <row r="14" spans="1:13" s="145" customFormat="1" ht="26.25" customHeight="1">
      <c r="A14" s="155"/>
      <c r="B14" s="156" t="s">
        <v>14</v>
      </c>
      <c r="C14" s="156"/>
      <c r="D14" s="157"/>
      <c r="E14" s="157"/>
      <c r="F14" s="157"/>
      <c r="G14" s="157"/>
      <c r="H14" s="157"/>
      <c r="I14" s="157"/>
      <c r="J14" s="158"/>
      <c r="K14" s="158"/>
      <c r="L14" s="158"/>
      <c r="M14" s="158"/>
    </row>
    <row r="15" spans="1:13" s="145" customFormat="1" ht="26.25" customHeight="1">
      <c r="A15" s="159" t="s">
        <v>168</v>
      </c>
      <c r="B15" s="158" t="s">
        <v>169</v>
      </c>
      <c r="C15" s="158"/>
      <c r="D15" s="160"/>
      <c r="E15" s="160"/>
      <c r="F15" s="160"/>
      <c r="G15" s="160"/>
      <c r="H15" s="160"/>
      <c r="I15" s="160"/>
      <c r="J15" s="158"/>
      <c r="K15" s="158"/>
      <c r="L15" s="158"/>
      <c r="M15" s="158"/>
    </row>
    <row r="16" spans="1:13" s="145" customFormat="1" ht="26.25" customHeight="1">
      <c r="A16" s="159" t="s">
        <v>168</v>
      </c>
      <c r="B16" s="158" t="s">
        <v>170</v>
      </c>
      <c r="C16" s="158"/>
      <c r="D16" s="160"/>
      <c r="E16" s="160"/>
      <c r="F16" s="160"/>
      <c r="G16" s="160"/>
      <c r="H16" s="160"/>
      <c r="I16" s="160"/>
      <c r="J16" s="158"/>
      <c r="K16" s="158"/>
      <c r="L16" s="158"/>
      <c r="M16" s="158"/>
    </row>
    <row r="17" spans="1:13" ht="33">
      <c r="A17" s="161" t="s">
        <v>35</v>
      </c>
      <c r="B17" s="162" t="s">
        <v>171</v>
      </c>
      <c r="C17" s="163"/>
      <c r="D17" s="164"/>
      <c r="E17" s="164"/>
      <c r="F17" s="164"/>
      <c r="G17" s="164"/>
      <c r="H17" s="164"/>
      <c r="I17" s="164"/>
      <c r="J17" s="149"/>
      <c r="K17" s="149"/>
      <c r="L17" s="149"/>
      <c r="M17" s="149"/>
    </row>
    <row r="18" spans="1:13" s="145" customFormat="1" ht="26.25" customHeight="1">
      <c r="A18" s="155"/>
      <c r="B18" s="156" t="s">
        <v>14</v>
      </c>
      <c r="C18" s="156"/>
      <c r="D18" s="157"/>
      <c r="E18" s="157"/>
      <c r="F18" s="157"/>
      <c r="G18" s="157"/>
      <c r="H18" s="157"/>
      <c r="I18" s="157"/>
      <c r="J18" s="158"/>
      <c r="K18" s="158"/>
      <c r="L18" s="158"/>
      <c r="M18" s="158"/>
    </row>
    <row r="19" spans="1:13" s="145" customFormat="1" ht="39.75" customHeight="1">
      <c r="A19" s="159" t="s">
        <v>168</v>
      </c>
      <c r="B19" s="158" t="s">
        <v>172</v>
      </c>
      <c r="C19" s="158"/>
      <c r="D19" s="160"/>
      <c r="E19" s="160"/>
      <c r="F19" s="160"/>
      <c r="G19" s="160"/>
      <c r="H19" s="160"/>
      <c r="I19" s="160"/>
      <c r="J19" s="158"/>
      <c r="K19" s="158"/>
      <c r="L19" s="158"/>
      <c r="M19" s="158"/>
    </row>
    <row r="20" spans="1:13" s="145" customFormat="1" ht="39.75" customHeight="1">
      <c r="A20" s="159" t="s">
        <v>168</v>
      </c>
      <c r="B20" s="158" t="s">
        <v>173</v>
      </c>
      <c r="C20" s="158"/>
      <c r="D20" s="160"/>
      <c r="E20" s="160"/>
      <c r="F20" s="160"/>
      <c r="G20" s="160"/>
      <c r="H20" s="160"/>
      <c r="I20" s="160"/>
      <c r="J20" s="158"/>
      <c r="K20" s="158"/>
      <c r="L20" s="158"/>
      <c r="M20" s="158"/>
    </row>
    <row r="21" spans="1:13" ht="36" customHeight="1">
      <c r="A21" s="161" t="s">
        <v>42</v>
      </c>
      <c r="B21" s="162" t="s">
        <v>174</v>
      </c>
      <c r="C21" s="163"/>
      <c r="D21" s="164"/>
      <c r="E21" s="164"/>
      <c r="F21" s="164"/>
      <c r="G21" s="164"/>
      <c r="H21" s="164"/>
      <c r="I21" s="164"/>
      <c r="J21" s="149"/>
      <c r="K21" s="149"/>
      <c r="L21" s="149"/>
      <c r="M21" s="149"/>
    </row>
    <row r="22" spans="1:13" ht="36.75" customHeight="1">
      <c r="A22" s="150">
        <v>2</v>
      </c>
      <c r="B22" s="165" t="s">
        <v>175</v>
      </c>
      <c r="C22" s="154"/>
      <c r="D22" s="151"/>
      <c r="E22" s="151"/>
      <c r="F22" s="151"/>
      <c r="G22" s="151"/>
      <c r="H22" s="151"/>
      <c r="I22" s="151"/>
      <c r="J22" s="149"/>
      <c r="K22" s="149"/>
      <c r="L22" s="149"/>
      <c r="M22" s="149"/>
    </row>
    <row r="23" spans="1:13" s="145" customFormat="1" ht="26.25" customHeight="1">
      <c r="A23" s="155"/>
      <c r="B23" s="156" t="s">
        <v>14</v>
      </c>
      <c r="C23" s="156"/>
      <c r="D23" s="157"/>
      <c r="E23" s="157"/>
      <c r="F23" s="157"/>
      <c r="G23" s="157"/>
      <c r="H23" s="157"/>
      <c r="I23" s="157"/>
      <c r="J23" s="158"/>
      <c r="K23" s="158"/>
      <c r="L23" s="158"/>
      <c r="M23" s="158"/>
    </row>
    <row r="24" spans="1:13" s="145" customFormat="1" ht="26.25" customHeight="1">
      <c r="A24" s="159" t="s">
        <v>168</v>
      </c>
      <c r="B24" s="158" t="s">
        <v>169</v>
      </c>
      <c r="C24" s="158"/>
      <c r="D24" s="160"/>
      <c r="E24" s="160"/>
      <c r="F24" s="160"/>
      <c r="G24" s="160"/>
      <c r="H24" s="160"/>
      <c r="I24" s="160"/>
      <c r="J24" s="158"/>
      <c r="K24" s="158"/>
      <c r="L24" s="158"/>
      <c r="M24" s="158"/>
    </row>
    <row r="25" spans="1:13" s="145" customFormat="1" ht="26.25" customHeight="1">
      <c r="A25" s="159" t="s">
        <v>168</v>
      </c>
      <c r="B25" s="158" t="s">
        <v>170</v>
      </c>
      <c r="C25" s="158"/>
      <c r="D25" s="160"/>
      <c r="E25" s="160"/>
      <c r="F25" s="160"/>
      <c r="G25" s="160"/>
      <c r="H25" s="160"/>
      <c r="I25" s="160"/>
      <c r="J25" s="158"/>
      <c r="K25" s="158"/>
      <c r="L25" s="158"/>
      <c r="M25" s="158"/>
    </row>
    <row r="26" spans="1:13" s="168" customFormat="1" ht="24.75" customHeight="1">
      <c r="A26" s="166" t="s">
        <v>35</v>
      </c>
      <c r="B26" s="167" t="s">
        <v>176</v>
      </c>
      <c r="C26" s="167"/>
      <c r="D26" s="157"/>
      <c r="E26" s="157"/>
      <c r="F26" s="157"/>
      <c r="G26" s="157"/>
      <c r="H26" s="157"/>
      <c r="I26" s="157"/>
      <c r="J26" s="156"/>
      <c r="K26" s="156"/>
      <c r="L26" s="156"/>
      <c r="M26" s="156"/>
    </row>
    <row r="27" spans="1:13" s="145" customFormat="1" ht="26.25" customHeight="1">
      <c r="A27" s="155"/>
      <c r="B27" s="156" t="s">
        <v>14</v>
      </c>
      <c r="C27" s="156"/>
      <c r="D27" s="157"/>
      <c r="E27" s="157"/>
      <c r="F27" s="157"/>
      <c r="G27" s="157"/>
      <c r="H27" s="157"/>
      <c r="I27" s="157"/>
      <c r="J27" s="158"/>
      <c r="K27" s="158"/>
      <c r="L27" s="158"/>
      <c r="M27" s="158"/>
    </row>
    <row r="28" spans="1:13" s="145" customFormat="1" ht="26.25" customHeight="1">
      <c r="A28" s="159" t="s">
        <v>168</v>
      </c>
      <c r="B28" s="158" t="s">
        <v>169</v>
      </c>
      <c r="C28" s="158"/>
      <c r="D28" s="160"/>
      <c r="E28" s="160"/>
      <c r="F28" s="160"/>
      <c r="G28" s="160"/>
      <c r="H28" s="160"/>
      <c r="I28" s="160"/>
      <c r="J28" s="158"/>
      <c r="K28" s="158"/>
      <c r="L28" s="158"/>
      <c r="M28" s="158"/>
    </row>
    <row r="29" spans="1:13" s="145" customFormat="1" ht="26.25" customHeight="1">
      <c r="A29" s="159" t="s">
        <v>168</v>
      </c>
      <c r="B29" s="158" t="s">
        <v>170</v>
      </c>
      <c r="C29" s="158"/>
      <c r="D29" s="160"/>
      <c r="E29" s="160"/>
      <c r="F29" s="160"/>
      <c r="G29" s="160"/>
      <c r="H29" s="160"/>
      <c r="I29" s="160"/>
      <c r="J29" s="158"/>
      <c r="K29" s="158"/>
      <c r="L29" s="158"/>
      <c r="M29" s="158"/>
    </row>
    <row r="30" spans="1:13" ht="26.25" customHeight="1">
      <c r="A30" s="169">
        <v>-1</v>
      </c>
      <c r="B30" s="149" t="s">
        <v>177</v>
      </c>
      <c r="C30" s="149"/>
      <c r="D30" s="164"/>
      <c r="E30" s="164"/>
      <c r="F30" s="164"/>
      <c r="G30" s="164"/>
      <c r="H30" s="164"/>
      <c r="I30" s="164"/>
      <c r="J30" s="149"/>
      <c r="K30" s="149"/>
      <c r="L30" s="149"/>
      <c r="M30" s="149"/>
    </row>
    <row r="31" spans="1:13" ht="26.25" customHeight="1">
      <c r="A31" s="170" t="s">
        <v>168</v>
      </c>
      <c r="B31" s="149" t="s">
        <v>169</v>
      </c>
      <c r="C31" s="149"/>
      <c r="D31" s="164"/>
      <c r="E31" s="164"/>
      <c r="F31" s="164"/>
      <c r="G31" s="164"/>
      <c r="H31" s="164"/>
      <c r="I31" s="164"/>
      <c r="J31" s="149"/>
      <c r="K31" s="149"/>
      <c r="L31" s="149"/>
      <c r="M31" s="149"/>
    </row>
    <row r="32" spans="1:13" ht="26.25" customHeight="1">
      <c r="A32" s="170" t="s">
        <v>168</v>
      </c>
      <c r="B32" s="149" t="s">
        <v>170</v>
      </c>
      <c r="C32" s="149"/>
      <c r="D32" s="164"/>
      <c r="E32" s="164"/>
      <c r="F32" s="164"/>
      <c r="G32" s="164"/>
      <c r="H32" s="164"/>
      <c r="I32" s="164"/>
      <c r="J32" s="149"/>
      <c r="K32" s="149"/>
      <c r="L32" s="149"/>
      <c r="M32" s="149"/>
    </row>
    <row r="33" spans="1:13" ht="26.25" customHeight="1">
      <c r="A33" s="169">
        <v>-2</v>
      </c>
      <c r="B33" s="149" t="s">
        <v>177</v>
      </c>
      <c r="C33" s="149"/>
      <c r="D33" s="164"/>
      <c r="E33" s="164"/>
      <c r="F33" s="164"/>
      <c r="G33" s="164"/>
      <c r="H33" s="164"/>
      <c r="I33" s="164"/>
      <c r="J33" s="149"/>
      <c r="K33" s="149"/>
      <c r="L33" s="149"/>
      <c r="M33" s="149"/>
    </row>
    <row r="34" spans="1:13" s="145" customFormat="1" ht="26.25" customHeight="1">
      <c r="A34" s="159"/>
      <c r="B34" s="158" t="s">
        <v>81</v>
      </c>
      <c r="C34" s="158"/>
      <c r="D34" s="160"/>
      <c r="E34" s="160"/>
      <c r="F34" s="160"/>
      <c r="G34" s="160"/>
      <c r="H34" s="160"/>
      <c r="I34" s="160"/>
      <c r="J34" s="158"/>
      <c r="K34" s="158"/>
      <c r="L34" s="158"/>
      <c r="M34" s="158"/>
    </row>
    <row r="35" spans="1:13" s="145" customFormat="1" ht="26.25" customHeight="1">
      <c r="A35" s="159" t="s">
        <v>40</v>
      </c>
      <c r="B35" s="158" t="s">
        <v>40</v>
      </c>
      <c r="C35" s="158"/>
      <c r="D35" s="160"/>
      <c r="E35" s="160"/>
      <c r="F35" s="160"/>
      <c r="G35" s="160"/>
      <c r="H35" s="160"/>
      <c r="I35" s="160"/>
      <c r="J35" s="158"/>
      <c r="K35" s="158"/>
      <c r="L35" s="158"/>
      <c r="M35" s="158"/>
    </row>
    <row r="36" spans="1:13" s="168" customFormat="1" ht="26.25" customHeight="1">
      <c r="A36" s="166" t="s">
        <v>42</v>
      </c>
      <c r="B36" s="167" t="s">
        <v>178</v>
      </c>
      <c r="C36" s="167"/>
      <c r="D36" s="157"/>
      <c r="E36" s="157"/>
      <c r="F36" s="157"/>
      <c r="G36" s="157"/>
      <c r="H36" s="157"/>
      <c r="I36" s="157"/>
      <c r="J36" s="156"/>
      <c r="K36" s="156"/>
      <c r="L36" s="156"/>
      <c r="M36" s="156"/>
    </row>
    <row r="37" spans="1:13" s="145" customFormat="1" ht="26.25" customHeight="1">
      <c r="A37" s="155"/>
      <c r="B37" s="156" t="s">
        <v>14</v>
      </c>
      <c r="C37" s="156"/>
      <c r="D37" s="157"/>
      <c r="E37" s="157"/>
      <c r="F37" s="157"/>
      <c r="G37" s="157"/>
      <c r="H37" s="157"/>
      <c r="I37" s="157"/>
      <c r="J37" s="158"/>
      <c r="K37" s="158"/>
      <c r="L37" s="158"/>
      <c r="M37" s="158"/>
    </row>
    <row r="38" spans="1:13" s="145" customFormat="1" ht="26.25" customHeight="1">
      <c r="A38" s="159" t="s">
        <v>168</v>
      </c>
      <c r="B38" s="158" t="s">
        <v>169</v>
      </c>
      <c r="C38" s="158"/>
      <c r="D38" s="160"/>
      <c r="E38" s="160"/>
      <c r="F38" s="160"/>
      <c r="G38" s="160"/>
      <c r="H38" s="160"/>
      <c r="I38" s="160"/>
      <c r="J38" s="158"/>
      <c r="K38" s="158"/>
      <c r="L38" s="158"/>
      <c r="M38" s="158"/>
    </row>
    <row r="39" spans="1:13" s="145" customFormat="1" ht="26.25" customHeight="1">
      <c r="A39" s="159" t="s">
        <v>168</v>
      </c>
      <c r="B39" s="158" t="s">
        <v>170</v>
      </c>
      <c r="C39" s="158"/>
      <c r="D39" s="160"/>
      <c r="E39" s="160"/>
      <c r="F39" s="160"/>
      <c r="G39" s="160"/>
      <c r="H39" s="160"/>
      <c r="I39" s="160"/>
      <c r="J39" s="158"/>
      <c r="K39" s="158"/>
      <c r="L39" s="158"/>
      <c r="M39" s="158"/>
    </row>
    <row r="40" spans="1:13" ht="26.25" customHeight="1">
      <c r="A40" s="169">
        <v>-1</v>
      </c>
      <c r="B40" s="149" t="s">
        <v>177</v>
      </c>
      <c r="C40" s="149"/>
      <c r="D40" s="164"/>
      <c r="E40" s="164"/>
      <c r="F40" s="164"/>
      <c r="G40" s="164"/>
      <c r="H40" s="164"/>
      <c r="I40" s="164"/>
      <c r="J40" s="149"/>
      <c r="K40" s="149"/>
      <c r="L40" s="149"/>
      <c r="M40" s="149"/>
    </row>
    <row r="41" spans="1:13" ht="26.25" customHeight="1">
      <c r="A41" s="170" t="s">
        <v>168</v>
      </c>
      <c r="B41" s="149" t="s">
        <v>169</v>
      </c>
      <c r="C41" s="149"/>
      <c r="D41" s="164"/>
      <c r="E41" s="164"/>
      <c r="F41" s="164"/>
      <c r="G41" s="164"/>
      <c r="H41" s="164"/>
      <c r="I41" s="164"/>
      <c r="J41" s="149"/>
      <c r="K41" s="149"/>
      <c r="L41" s="149"/>
      <c r="M41" s="149"/>
    </row>
    <row r="42" spans="1:13" ht="26.25" customHeight="1">
      <c r="A42" s="170" t="s">
        <v>168</v>
      </c>
      <c r="B42" s="149" t="s">
        <v>170</v>
      </c>
      <c r="C42" s="149"/>
      <c r="D42" s="164"/>
      <c r="E42" s="164"/>
      <c r="F42" s="164"/>
      <c r="G42" s="164"/>
      <c r="H42" s="164"/>
      <c r="I42" s="164"/>
      <c r="J42" s="149"/>
      <c r="K42" s="149"/>
      <c r="L42" s="149"/>
      <c r="M42" s="149"/>
    </row>
    <row r="43" spans="1:13" ht="26.25" customHeight="1">
      <c r="A43" s="169">
        <v>-2</v>
      </c>
      <c r="B43" s="149" t="s">
        <v>177</v>
      </c>
      <c r="C43" s="149"/>
      <c r="D43" s="164"/>
      <c r="E43" s="164"/>
      <c r="F43" s="164"/>
      <c r="G43" s="164"/>
      <c r="H43" s="164"/>
      <c r="I43" s="164"/>
      <c r="J43" s="149"/>
      <c r="K43" s="149"/>
      <c r="L43" s="149"/>
      <c r="M43" s="149"/>
    </row>
    <row r="44" spans="1:13" s="145" customFormat="1" ht="26.25" customHeight="1">
      <c r="A44" s="159"/>
      <c r="B44" s="158" t="s">
        <v>81</v>
      </c>
      <c r="C44" s="158"/>
      <c r="D44" s="160"/>
      <c r="E44" s="160"/>
      <c r="F44" s="160"/>
      <c r="G44" s="160"/>
      <c r="H44" s="160"/>
      <c r="I44" s="160"/>
      <c r="J44" s="158"/>
      <c r="K44" s="158"/>
      <c r="L44" s="158"/>
      <c r="M44" s="158"/>
    </row>
    <row r="45" spans="1:13" s="145" customFormat="1" ht="26.25" customHeight="1">
      <c r="A45" s="159" t="s">
        <v>40</v>
      </c>
      <c r="B45" s="158" t="s">
        <v>40</v>
      </c>
      <c r="C45" s="158"/>
      <c r="D45" s="160"/>
      <c r="E45" s="160"/>
      <c r="F45" s="160"/>
      <c r="G45" s="160"/>
      <c r="H45" s="160"/>
      <c r="I45" s="160"/>
      <c r="J45" s="158"/>
      <c r="K45" s="158"/>
      <c r="L45" s="158"/>
      <c r="M45" s="158"/>
    </row>
    <row r="46" spans="1:13" ht="29.25" customHeight="1">
      <c r="A46" s="150" t="s">
        <v>48</v>
      </c>
      <c r="B46" s="154" t="s">
        <v>16</v>
      </c>
      <c r="C46" s="154"/>
      <c r="D46" s="151"/>
      <c r="E46" s="151"/>
      <c r="F46" s="151"/>
      <c r="G46" s="151"/>
      <c r="H46" s="151"/>
      <c r="I46" s="151"/>
      <c r="J46" s="149"/>
      <c r="K46" s="149"/>
      <c r="L46" s="149"/>
      <c r="M46" s="149"/>
    </row>
    <row r="47" spans="1:13" ht="29.25" customHeight="1">
      <c r="A47" s="147">
        <v>1</v>
      </c>
      <c r="B47" s="171" t="s">
        <v>179</v>
      </c>
      <c r="C47" s="149"/>
      <c r="D47" s="164"/>
      <c r="E47" s="164"/>
      <c r="F47" s="164"/>
      <c r="G47" s="164"/>
      <c r="H47" s="164"/>
      <c r="I47" s="164"/>
      <c r="J47" s="149"/>
      <c r="K47" s="149"/>
      <c r="L47" s="149"/>
      <c r="M47" s="149"/>
    </row>
    <row r="48" spans="1:13" ht="29.25" customHeight="1">
      <c r="A48" s="147">
        <v>2</v>
      </c>
      <c r="B48" s="171" t="s">
        <v>179</v>
      </c>
      <c r="C48" s="149"/>
      <c r="D48" s="164"/>
      <c r="E48" s="164"/>
      <c r="F48" s="164"/>
      <c r="G48" s="164"/>
      <c r="H48" s="164"/>
      <c r="I48" s="164"/>
      <c r="J48" s="149"/>
      <c r="K48" s="149"/>
      <c r="L48" s="149"/>
      <c r="M48" s="149"/>
    </row>
    <row r="49" spans="1:13" ht="29.25" customHeight="1">
      <c r="A49" s="147" t="s">
        <v>40</v>
      </c>
      <c r="B49" s="149" t="s">
        <v>40</v>
      </c>
      <c r="C49" s="149"/>
      <c r="D49" s="164"/>
      <c r="E49" s="164"/>
      <c r="F49" s="164"/>
      <c r="G49" s="164"/>
      <c r="H49" s="164"/>
      <c r="I49" s="164"/>
      <c r="J49" s="149"/>
      <c r="K49" s="149"/>
      <c r="L49" s="149"/>
      <c r="M49" s="149"/>
    </row>
    <row r="50" spans="1:13" ht="29.25" customHeight="1">
      <c r="A50" s="150" t="s">
        <v>180</v>
      </c>
      <c r="B50" s="154" t="s">
        <v>181</v>
      </c>
      <c r="C50" s="154"/>
      <c r="D50" s="151"/>
      <c r="E50" s="151"/>
      <c r="F50" s="151"/>
      <c r="G50" s="151"/>
      <c r="H50" s="151"/>
      <c r="I50" s="151"/>
      <c r="J50" s="149"/>
      <c r="K50" s="149"/>
      <c r="L50" s="149"/>
      <c r="M50" s="149"/>
    </row>
    <row r="51" spans="1:13" ht="29.25" customHeight="1">
      <c r="A51" s="147">
        <v>1</v>
      </c>
      <c r="B51" s="171" t="s">
        <v>179</v>
      </c>
      <c r="C51" s="149"/>
      <c r="D51" s="164"/>
      <c r="E51" s="164"/>
      <c r="F51" s="164"/>
      <c r="G51" s="164"/>
      <c r="H51" s="164"/>
      <c r="I51" s="164"/>
      <c r="J51" s="149"/>
      <c r="K51" s="149"/>
      <c r="L51" s="149"/>
      <c r="M51" s="149"/>
    </row>
    <row r="52" spans="1:13" ht="29.25" customHeight="1">
      <c r="A52" s="147">
        <v>2</v>
      </c>
      <c r="B52" s="171" t="s">
        <v>179</v>
      </c>
      <c r="C52" s="149"/>
      <c r="D52" s="164"/>
      <c r="E52" s="164"/>
      <c r="F52" s="164"/>
      <c r="G52" s="164"/>
      <c r="H52" s="164"/>
      <c r="I52" s="164"/>
      <c r="J52" s="149"/>
      <c r="K52" s="149"/>
      <c r="L52" s="149"/>
      <c r="M52" s="149"/>
    </row>
    <row r="53" spans="1:13" ht="29.25" customHeight="1">
      <c r="A53" s="147" t="s">
        <v>40</v>
      </c>
      <c r="B53" s="149" t="s">
        <v>40</v>
      </c>
      <c r="C53" s="149"/>
      <c r="D53" s="164"/>
      <c r="E53" s="164"/>
      <c r="F53" s="164"/>
      <c r="G53" s="164"/>
      <c r="H53" s="164"/>
      <c r="I53" s="164"/>
      <c r="J53" s="149"/>
      <c r="K53" s="149"/>
      <c r="L53" s="149"/>
      <c r="M53" s="149"/>
    </row>
    <row r="54" spans="1:13" ht="29.25" customHeight="1">
      <c r="A54" s="150" t="s">
        <v>180</v>
      </c>
      <c r="B54" s="154" t="s">
        <v>17</v>
      </c>
      <c r="C54" s="154"/>
      <c r="D54" s="151"/>
      <c r="E54" s="151"/>
      <c r="F54" s="151"/>
      <c r="G54" s="151"/>
      <c r="H54" s="151"/>
      <c r="I54" s="151"/>
      <c r="J54" s="149"/>
      <c r="K54" s="149"/>
      <c r="L54" s="149"/>
      <c r="M54" s="149"/>
    </row>
    <row r="55" spans="1:13" ht="29.25" customHeight="1">
      <c r="A55" s="147">
        <v>1</v>
      </c>
      <c r="B55" s="171" t="s">
        <v>179</v>
      </c>
      <c r="C55" s="149"/>
      <c r="D55" s="164"/>
      <c r="E55" s="164"/>
      <c r="F55" s="164"/>
      <c r="G55" s="164"/>
      <c r="H55" s="164"/>
      <c r="I55" s="164"/>
      <c r="J55" s="149"/>
      <c r="K55" s="149"/>
      <c r="L55" s="149"/>
      <c r="M55" s="149"/>
    </row>
    <row r="56" spans="1:13" ht="29.25" customHeight="1">
      <c r="A56" s="147">
        <v>2</v>
      </c>
      <c r="B56" s="171" t="s">
        <v>179</v>
      </c>
      <c r="C56" s="149"/>
      <c r="D56" s="164"/>
      <c r="E56" s="164"/>
      <c r="F56" s="164"/>
      <c r="G56" s="164"/>
      <c r="H56" s="164"/>
      <c r="I56" s="164"/>
      <c r="J56" s="149"/>
      <c r="K56" s="149"/>
      <c r="L56" s="149"/>
      <c r="M56" s="149"/>
    </row>
    <row r="57" spans="1:13" ht="29.25" customHeight="1">
      <c r="A57" s="147" t="s">
        <v>40</v>
      </c>
      <c r="B57" s="149" t="s">
        <v>40</v>
      </c>
      <c r="C57" s="149"/>
      <c r="D57" s="164"/>
      <c r="E57" s="164"/>
      <c r="F57" s="164"/>
      <c r="G57" s="164"/>
      <c r="H57" s="164"/>
      <c r="I57" s="164"/>
      <c r="J57" s="149"/>
      <c r="K57" s="149"/>
      <c r="L57" s="149"/>
      <c r="M57" s="149"/>
    </row>
    <row r="58" spans="1:13" ht="39.75" customHeight="1">
      <c r="A58" s="150" t="s">
        <v>136</v>
      </c>
      <c r="B58" s="154" t="s">
        <v>18</v>
      </c>
      <c r="C58" s="154"/>
      <c r="D58" s="151"/>
      <c r="E58" s="151"/>
      <c r="F58" s="151"/>
      <c r="G58" s="151"/>
      <c r="H58" s="151"/>
      <c r="I58" s="151"/>
      <c r="J58" s="149"/>
      <c r="K58" s="149"/>
      <c r="L58" s="149"/>
      <c r="M58" s="149"/>
    </row>
    <row r="59" spans="1:13" ht="31.5" customHeight="1">
      <c r="A59" s="147">
        <v>1</v>
      </c>
      <c r="B59" s="171" t="s">
        <v>179</v>
      </c>
      <c r="C59" s="149"/>
      <c r="D59" s="164"/>
      <c r="E59" s="164"/>
      <c r="F59" s="164"/>
      <c r="G59" s="164"/>
      <c r="H59" s="164"/>
      <c r="I59" s="164"/>
      <c r="J59" s="149"/>
      <c r="K59" s="149"/>
      <c r="L59" s="149"/>
      <c r="M59" s="149"/>
    </row>
    <row r="60" spans="1:13" ht="31.5" customHeight="1">
      <c r="A60" s="147">
        <v>2</v>
      </c>
      <c r="B60" s="171" t="s">
        <v>179</v>
      </c>
      <c r="C60" s="149"/>
      <c r="D60" s="164"/>
      <c r="E60" s="164"/>
      <c r="F60" s="164"/>
      <c r="G60" s="164"/>
      <c r="H60" s="164"/>
      <c r="I60" s="164"/>
      <c r="J60" s="149"/>
      <c r="K60" s="149"/>
      <c r="L60" s="149"/>
      <c r="M60" s="149"/>
    </row>
    <row r="61" spans="1:13" ht="31.5" customHeight="1">
      <c r="A61" s="147" t="s">
        <v>40</v>
      </c>
      <c r="B61" s="149" t="s">
        <v>40</v>
      </c>
      <c r="C61" s="149"/>
      <c r="D61" s="164"/>
      <c r="E61" s="164"/>
      <c r="F61" s="164"/>
      <c r="G61" s="164"/>
      <c r="H61" s="164"/>
      <c r="I61" s="164"/>
      <c r="J61" s="149"/>
      <c r="K61" s="149"/>
      <c r="L61" s="149"/>
      <c r="M61" s="149"/>
    </row>
    <row r="62" spans="1:13" ht="53.25" customHeight="1">
      <c r="A62" s="150" t="s">
        <v>138</v>
      </c>
      <c r="B62" s="154" t="s">
        <v>182</v>
      </c>
      <c r="C62" s="154"/>
      <c r="D62" s="151"/>
      <c r="E62" s="151"/>
      <c r="F62" s="151"/>
      <c r="G62" s="151"/>
      <c r="H62" s="151"/>
      <c r="I62" s="151"/>
      <c r="J62" s="149"/>
      <c r="K62" s="149"/>
      <c r="L62" s="149"/>
      <c r="M62" s="149"/>
    </row>
    <row r="63" spans="1:13" ht="28.5" customHeight="1">
      <c r="A63" s="147">
        <v>1</v>
      </c>
      <c r="B63" s="171" t="s">
        <v>179</v>
      </c>
      <c r="C63" s="149"/>
      <c r="D63" s="164"/>
      <c r="E63" s="164"/>
      <c r="F63" s="164"/>
      <c r="G63" s="164"/>
      <c r="H63" s="164"/>
      <c r="I63" s="164"/>
      <c r="J63" s="149"/>
      <c r="K63" s="149"/>
      <c r="L63" s="149"/>
      <c r="M63" s="149"/>
    </row>
    <row r="64" spans="1:13" ht="28.5" customHeight="1">
      <c r="A64" s="147">
        <v>2</v>
      </c>
      <c r="B64" s="171" t="s">
        <v>179</v>
      </c>
      <c r="C64" s="149"/>
      <c r="D64" s="164"/>
      <c r="E64" s="164"/>
      <c r="F64" s="164"/>
      <c r="G64" s="164"/>
      <c r="H64" s="164"/>
      <c r="I64" s="164"/>
      <c r="J64" s="149"/>
      <c r="K64" s="149"/>
      <c r="L64" s="149"/>
      <c r="M64" s="149"/>
    </row>
    <row r="65" spans="1:13" ht="28.5" customHeight="1">
      <c r="A65" s="147" t="s">
        <v>40</v>
      </c>
      <c r="B65" s="149" t="s">
        <v>40</v>
      </c>
      <c r="C65" s="149"/>
      <c r="D65" s="164"/>
      <c r="E65" s="164"/>
      <c r="F65" s="164"/>
      <c r="G65" s="164"/>
      <c r="H65" s="164"/>
      <c r="I65" s="164"/>
      <c r="J65" s="149"/>
      <c r="K65" s="149"/>
      <c r="L65" s="149"/>
      <c r="M65" s="149"/>
    </row>
    <row r="66" spans="1:13" ht="30" hidden="1" customHeight="1">
      <c r="A66" s="150" t="s">
        <v>183</v>
      </c>
      <c r="B66" s="154" t="s">
        <v>17</v>
      </c>
      <c r="C66" s="154"/>
      <c r="D66" s="151"/>
      <c r="E66" s="151"/>
      <c r="F66" s="151"/>
      <c r="G66" s="151"/>
      <c r="H66" s="151"/>
      <c r="I66" s="151"/>
      <c r="J66" s="149"/>
      <c r="K66" s="149"/>
      <c r="L66" s="149"/>
      <c r="M66" s="149"/>
    </row>
    <row r="67" spans="1:13" ht="30" hidden="1" customHeight="1">
      <c r="A67" s="147">
        <v>1</v>
      </c>
      <c r="B67" s="171" t="s">
        <v>184</v>
      </c>
      <c r="C67" s="149"/>
      <c r="D67" s="164"/>
      <c r="E67" s="164"/>
      <c r="F67" s="164"/>
      <c r="G67" s="164"/>
      <c r="H67" s="164"/>
      <c r="I67" s="164"/>
      <c r="J67" s="149"/>
      <c r="K67" s="149"/>
      <c r="L67" s="149"/>
      <c r="M67" s="149"/>
    </row>
    <row r="68" spans="1:13" ht="30" hidden="1" customHeight="1">
      <c r="A68" s="147">
        <v>2</v>
      </c>
      <c r="B68" s="171" t="s">
        <v>184</v>
      </c>
      <c r="C68" s="149"/>
      <c r="D68" s="164"/>
      <c r="E68" s="164"/>
      <c r="F68" s="164"/>
      <c r="G68" s="164"/>
      <c r="H68" s="164"/>
      <c r="I68" s="164"/>
      <c r="J68" s="149"/>
      <c r="K68" s="149"/>
      <c r="L68" s="149"/>
      <c r="M68" s="149"/>
    </row>
    <row r="69" spans="1:13" ht="30" hidden="1" customHeight="1">
      <c r="A69" s="147" t="s">
        <v>40</v>
      </c>
      <c r="B69" s="149" t="s">
        <v>40</v>
      </c>
      <c r="C69" s="149"/>
      <c r="D69" s="164"/>
      <c r="E69" s="164"/>
      <c r="F69" s="164"/>
      <c r="G69" s="164"/>
      <c r="H69" s="164"/>
      <c r="I69" s="164"/>
      <c r="J69" s="149"/>
      <c r="K69" s="149"/>
      <c r="L69" s="149"/>
      <c r="M69" s="149"/>
    </row>
    <row r="70" spans="1:13" ht="39.75" customHeight="1">
      <c r="A70" s="150" t="s">
        <v>185</v>
      </c>
      <c r="B70" s="154" t="s">
        <v>186</v>
      </c>
      <c r="C70" s="154"/>
      <c r="D70" s="151"/>
      <c r="E70" s="151"/>
      <c r="F70" s="151"/>
      <c r="G70" s="151"/>
      <c r="H70" s="151"/>
      <c r="I70" s="151"/>
      <c r="J70" s="149"/>
      <c r="K70" s="149"/>
      <c r="L70" s="149"/>
      <c r="M70" s="149"/>
    </row>
    <row r="71" spans="1:13" ht="28.5" customHeight="1">
      <c r="A71" s="147">
        <v>1</v>
      </c>
      <c r="B71" s="171" t="s">
        <v>179</v>
      </c>
      <c r="C71" s="149"/>
      <c r="D71" s="164"/>
      <c r="E71" s="164"/>
      <c r="F71" s="164"/>
      <c r="G71" s="164"/>
      <c r="H71" s="164"/>
      <c r="I71" s="164"/>
      <c r="J71" s="149"/>
      <c r="K71" s="149"/>
      <c r="L71" s="149"/>
      <c r="M71" s="149"/>
    </row>
    <row r="72" spans="1:13" ht="28.5" customHeight="1">
      <c r="A72" s="147">
        <v>2</v>
      </c>
      <c r="B72" s="171" t="s">
        <v>179</v>
      </c>
      <c r="C72" s="149"/>
      <c r="D72" s="164"/>
      <c r="E72" s="164"/>
      <c r="F72" s="164"/>
      <c r="G72" s="164"/>
      <c r="H72" s="164"/>
      <c r="I72" s="164"/>
      <c r="J72" s="149"/>
      <c r="K72" s="149"/>
      <c r="L72" s="149"/>
      <c r="M72" s="149"/>
    </row>
    <row r="73" spans="1:13" ht="28.5" customHeight="1">
      <c r="A73" s="147" t="s">
        <v>40</v>
      </c>
      <c r="B73" s="149" t="s">
        <v>40</v>
      </c>
      <c r="C73" s="149"/>
      <c r="D73" s="164"/>
      <c r="E73" s="164"/>
      <c r="F73" s="164"/>
      <c r="G73" s="164"/>
      <c r="H73" s="164"/>
      <c r="I73" s="164"/>
      <c r="J73" s="149"/>
      <c r="K73" s="149"/>
      <c r="L73" s="149"/>
      <c r="M73" s="149"/>
    </row>
    <row r="74" spans="1:13" ht="12" customHeight="1">
      <c r="A74" s="147"/>
      <c r="B74" s="149"/>
      <c r="C74" s="149"/>
      <c r="D74" s="164"/>
      <c r="E74" s="164"/>
      <c r="F74" s="164"/>
      <c r="G74" s="164"/>
      <c r="H74" s="164"/>
      <c r="I74" s="164"/>
      <c r="J74" s="149"/>
      <c r="K74" s="149"/>
      <c r="L74" s="149"/>
      <c r="M74" s="149"/>
    </row>
    <row r="76" spans="1:13">
      <c r="B76" s="172" t="s">
        <v>19</v>
      </c>
      <c r="C76" s="172"/>
    </row>
    <row r="77" spans="1:13">
      <c r="B77" s="173" t="s">
        <v>20</v>
      </c>
      <c r="C77" s="173"/>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C000"/>
    <pageSetUpPr fitToPage="1"/>
  </sheetPr>
  <dimension ref="A1:S72"/>
  <sheetViews>
    <sheetView zoomScalePageLayoutView="75" workbookViewId="0">
      <selection activeCell="A2" sqref="A2:I2"/>
    </sheetView>
  </sheetViews>
  <sheetFormatPr defaultColWidth="9.140625" defaultRowHeight="15"/>
  <cols>
    <col min="1" max="1" width="6.28515625" style="188" customWidth="1"/>
    <col min="2" max="2" width="42.7109375" style="174" customWidth="1"/>
    <col min="3" max="9" width="11" style="174" customWidth="1"/>
    <col min="10" max="10" width="10.28515625" style="174" customWidth="1"/>
    <col min="11" max="11" width="11" style="174" customWidth="1"/>
    <col min="12" max="16384" width="9.140625" style="174"/>
  </cols>
  <sheetData>
    <row r="1" spans="1:17" ht="23.25" customHeight="1">
      <c r="A1" s="787" t="s">
        <v>194</v>
      </c>
      <c r="B1" s="787"/>
      <c r="C1" s="787"/>
      <c r="D1" s="787"/>
      <c r="E1" s="787"/>
      <c r="F1" s="787"/>
      <c r="G1" s="787"/>
      <c r="H1" s="787"/>
      <c r="I1" s="787"/>
      <c r="J1" s="798" t="s">
        <v>0</v>
      </c>
      <c r="K1" s="798"/>
      <c r="L1" s="798"/>
      <c r="M1" s="798"/>
      <c r="N1" s="798"/>
      <c r="O1" s="798"/>
      <c r="P1" s="798"/>
      <c r="Q1" s="798"/>
    </row>
    <row r="2" spans="1:17" ht="19.5" customHeight="1">
      <c r="A2" s="788" t="s">
        <v>1</v>
      </c>
      <c r="B2" s="788"/>
      <c r="C2" s="788"/>
      <c r="D2" s="788"/>
      <c r="E2" s="788"/>
      <c r="F2" s="788"/>
      <c r="G2" s="788"/>
      <c r="H2" s="788"/>
      <c r="I2" s="788"/>
      <c r="J2" s="799" t="s">
        <v>2</v>
      </c>
      <c r="K2" s="799"/>
      <c r="L2" s="799"/>
      <c r="M2" s="799"/>
      <c r="N2" s="799"/>
      <c r="O2" s="799"/>
      <c r="P2" s="799"/>
      <c r="Q2" s="799"/>
    </row>
    <row r="3" spans="1:17" ht="21.75" customHeight="1">
      <c r="A3" s="800" t="s">
        <v>156</v>
      </c>
      <c r="B3" s="800"/>
      <c r="C3" s="800"/>
      <c r="D3" s="800"/>
      <c r="E3" s="800"/>
      <c r="F3" s="800"/>
      <c r="G3" s="800"/>
      <c r="H3" s="800"/>
      <c r="I3" s="800"/>
      <c r="J3" s="800"/>
      <c r="K3" s="800"/>
      <c r="L3" s="800"/>
      <c r="M3" s="800"/>
      <c r="N3" s="800"/>
      <c r="O3" s="800"/>
      <c r="P3" s="800"/>
      <c r="Q3" s="800"/>
    </row>
    <row r="4" spans="1:17" ht="16.5">
      <c r="A4" s="175"/>
      <c r="B4" s="143"/>
      <c r="C4" s="143"/>
      <c r="D4" s="143"/>
      <c r="E4" s="143"/>
      <c r="F4" s="143"/>
      <c r="G4" s="143"/>
      <c r="H4" s="143"/>
      <c r="I4" s="143"/>
      <c r="J4" s="143"/>
      <c r="K4" s="143"/>
    </row>
    <row r="5" spans="1:17" ht="20.25" customHeight="1">
      <c r="A5" s="787" t="s">
        <v>195</v>
      </c>
      <c r="B5" s="787"/>
      <c r="C5" s="787"/>
      <c r="D5" s="787"/>
      <c r="E5" s="787"/>
      <c r="F5" s="787"/>
      <c r="G5" s="787"/>
      <c r="H5" s="787"/>
      <c r="I5" s="787"/>
      <c r="J5" s="787"/>
      <c r="K5" s="787"/>
      <c r="L5" s="787"/>
      <c r="M5" s="787"/>
      <c r="N5" s="787"/>
      <c r="O5" s="787"/>
      <c r="P5" s="787"/>
      <c r="Q5" s="787"/>
    </row>
    <row r="6" spans="1:17" ht="23.25" customHeight="1">
      <c r="A6" s="787" t="s">
        <v>187</v>
      </c>
      <c r="B6" s="787"/>
      <c r="C6" s="787"/>
      <c r="D6" s="787"/>
      <c r="E6" s="787"/>
      <c r="F6" s="787"/>
      <c r="G6" s="787"/>
      <c r="H6" s="787"/>
      <c r="I6" s="787"/>
      <c r="J6" s="787"/>
      <c r="K6" s="787"/>
      <c r="L6" s="787"/>
      <c r="M6" s="787"/>
      <c r="N6" s="787"/>
      <c r="O6" s="787"/>
      <c r="P6" s="787"/>
      <c r="Q6" s="787"/>
    </row>
    <row r="7" spans="1:17" ht="19.5" customHeight="1">
      <c r="A7" s="788"/>
      <c r="B7" s="788"/>
      <c r="C7" s="788"/>
      <c r="D7" s="788"/>
      <c r="E7" s="788"/>
      <c r="F7" s="788"/>
      <c r="G7" s="788"/>
      <c r="H7" s="788"/>
      <c r="I7" s="788"/>
      <c r="J7" s="788"/>
      <c r="K7" s="788"/>
      <c r="L7" s="788"/>
      <c r="M7" s="788"/>
      <c r="N7" s="788"/>
      <c r="O7" s="788"/>
      <c r="P7" s="788"/>
      <c r="Q7" s="788"/>
    </row>
    <row r="8" spans="1:17" ht="21.75" customHeight="1">
      <c r="A8" s="176"/>
      <c r="B8" s="145"/>
      <c r="C8" s="145"/>
      <c r="D8" s="145"/>
      <c r="E8" s="145"/>
      <c r="F8" s="145"/>
      <c r="M8" s="796" t="s">
        <v>3</v>
      </c>
      <c r="N8" s="796"/>
      <c r="O8" s="796"/>
      <c r="P8" s="796"/>
      <c r="Q8" s="796"/>
    </row>
    <row r="9" spans="1:17" ht="56.25" customHeight="1">
      <c r="A9" s="797" t="s">
        <v>4</v>
      </c>
      <c r="B9" s="795" t="s">
        <v>158</v>
      </c>
      <c r="C9" s="795" t="s">
        <v>57</v>
      </c>
      <c r="D9" s="795"/>
      <c r="E9" s="795"/>
      <c r="F9" s="786" t="s">
        <v>188</v>
      </c>
      <c r="G9" s="786"/>
      <c r="H9" s="786"/>
      <c r="I9" s="786" t="s">
        <v>189</v>
      </c>
      <c r="J9" s="786"/>
      <c r="K9" s="786"/>
      <c r="L9" s="786" t="s">
        <v>190</v>
      </c>
      <c r="M9" s="786"/>
      <c r="N9" s="786"/>
      <c r="O9" s="786"/>
      <c r="P9" s="786"/>
      <c r="Q9" s="786"/>
    </row>
    <row r="10" spans="1:17" ht="35.25" customHeight="1">
      <c r="A10" s="797"/>
      <c r="B10" s="795"/>
      <c r="C10" s="795" t="s">
        <v>9</v>
      </c>
      <c r="D10" s="795" t="s">
        <v>10</v>
      </c>
      <c r="E10" s="795" t="s">
        <v>12</v>
      </c>
      <c r="F10" s="786" t="s">
        <v>9</v>
      </c>
      <c r="G10" s="786" t="s">
        <v>10</v>
      </c>
      <c r="H10" s="786" t="s">
        <v>12</v>
      </c>
      <c r="I10" s="786" t="s">
        <v>9</v>
      </c>
      <c r="J10" s="786" t="s">
        <v>10</v>
      </c>
      <c r="K10" s="786" t="s">
        <v>12</v>
      </c>
      <c r="L10" s="786" t="s">
        <v>191</v>
      </c>
      <c r="M10" s="786"/>
      <c r="N10" s="786"/>
      <c r="O10" s="786" t="s">
        <v>192</v>
      </c>
      <c r="P10" s="786"/>
      <c r="Q10" s="786"/>
    </row>
    <row r="11" spans="1:17" ht="33" customHeight="1">
      <c r="A11" s="797"/>
      <c r="B11" s="795"/>
      <c r="C11" s="795"/>
      <c r="D11" s="795"/>
      <c r="E11" s="795"/>
      <c r="F11" s="786"/>
      <c r="G11" s="786"/>
      <c r="H11" s="786"/>
      <c r="I11" s="786"/>
      <c r="J11" s="786"/>
      <c r="K11" s="786"/>
      <c r="L11" s="147" t="s">
        <v>9</v>
      </c>
      <c r="M11" s="147" t="s">
        <v>10</v>
      </c>
      <c r="N11" s="147" t="s">
        <v>11</v>
      </c>
      <c r="O11" s="147" t="s">
        <v>9</v>
      </c>
      <c r="P11" s="147" t="s">
        <v>10</v>
      </c>
      <c r="Q11" s="147" t="s">
        <v>11</v>
      </c>
    </row>
    <row r="12" spans="1:17" s="179" customFormat="1" ht="18.75">
      <c r="A12" s="177">
        <v>1</v>
      </c>
      <c r="B12" s="178">
        <v>2</v>
      </c>
      <c r="C12" s="177">
        <v>3</v>
      </c>
      <c r="D12" s="178">
        <v>4</v>
      </c>
      <c r="E12" s="177">
        <v>5</v>
      </c>
      <c r="F12" s="178">
        <v>6</v>
      </c>
      <c r="G12" s="177">
        <v>7</v>
      </c>
      <c r="H12" s="178">
        <v>8</v>
      </c>
      <c r="I12" s="177">
        <v>9</v>
      </c>
      <c r="J12" s="178">
        <v>10</v>
      </c>
      <c r="K12" s="177">
        <v>11</v>
      </c>
      <c r="L12" s="178">
        <v>12</v>
      </c>
      <c r="M12" s="177">
        <v>13</v>
      </c>
      <c r="N12" s="178">
        <v>14</v>
      </c>
      <c r="O12" s="177">
        <v>15</v>
      </c>
      <c r="P12" s="178">
        <v>16</v>
      </c>
      <c r="Q12" s="177">
        <v>17</v>
      </c>
    </row>
    <row r="13" spans="1:17" ht="24.75" customHeight="1">
      <c r="A13" s="177"/>
      <c r="B13" s="180" t="s">
        <v>165</v>
      </c>
      <c r="C13" s="181"/>
      <c r="D13" s="181"/>
      <c r="E13" s="181"/>
      <c r="F13" s="182"/>
      <c r="G13" s="182"/>
      <c r="H13" s="182"/>
      <c r="I13" s="182"/>
      <c r="J13" s="182"/>
      <c r="K13" s="182"/>
      <c r="L13" s="182"/>
      <c r="M13" s="182"/>
      <c r="N13" s="182"/>
      <c r="O13" s="182"/>
      <c r="P13" s="182"/>
      <c r="Q13" s="182"/>
    </row>
    <row r="14" spans="1:17" s="185" customFormat="1" ht="24.75" customHeight="1">
      <c r="A14" s="150" t="s">
        <v>32</v>
      </c>
      <c r="B14" s="152" t="s">
        <v>166</v>
      </c>
      <c r="C14" s="183"/>
      <c r="D14" s="183"/>
      <c r="E14" s="183"/>
      <c r="F14" s="184"/>
      <c r="G14" s="184"/>
      <c r="H14" s="184"/>
      <c r="I14" s="184"/>
      <c r="J14" s="184"/>
      <c r="K14" s="184"/>
      <c r="L14" s="184"/>
      <c r="M14" s="184"/>
      <c r="N14" s="184"/>
      <c r="O14" s="184"/>
      <c r="P14" s="184"/>
      <c r="Q14" s="184"/>
    </row>
    <row r="15" spans="1:17" s="185" customFormat="1" ht="24.75" customHeight="1">
      <c r="A15" s="150">
        <v>1</v>
      </c>
      <c r="B15" s="153" t="s">
        <v>167</v>
      </c>
      <c r="C15" s="183"/>
      <c r="D15" s="183"/>
      <c r="E15" s="183"/>
      <c r="F15" s="184"/>
      <c r="G15" s="184"/>
      <c r="H15" s="184"/>
      <c r="I15" s="184"/>
      <c r="J15" s="184"/>
      <c r="K15" s="184"/>
      <c r="L15" s="184"/>
      <c r="M15" s="184"/>
      <c r="N15" s="184"/>
      <c r="O15" s="184"/>
      <c r="P15" s="184"/>
      <c r="Q15" s="184"/>
    </row>
    <row r="16" spans="1:17" s="185" customFormat="1" ht="24.75" customHeight="1">
      <c r="A16" s="155"/>
      <c r="B16" s="156" t="s">
        <v>14</v>
      </c>
      <c r="C16" s="183"/>
      <c r="D16" s="183"/>
      <c r="E16" s="183"/>
      <c r="F16" s="184"/>
      <c r="G16" s="184"/>
      <c r="H16" s="184"/>
      <c r="I16" s="184"/>
      <c r="J16" s="184"/>
      <c r="K16" s="184"/>
      <c r="L16" s="184"/>
      <c r="M16" s="184"/>
      <c r="N16" s="184"/>
      <c r="O16" s="184"/>
      <c r="P16" s="184"/>
      <c r="Q16" s="184"/>
    </row>
    <row r="17" spans="1:17" s="185" customFormat="1" ht="24.75" customHeight="1">
      <c r="A17" s="159" t="s">
        <v>168</v>
      </c>
      <c r="B17" s="158" t="s">
        <v>169</v>
      </c>
      <c r="C17" s="183"/>
      <c r="D17" s="183"/>
      <c r="E17" s="183"/>
      <c r="F17" s="184"/>
      <c r="G17" s="184"/>
      <c r="H17" s="184"/>
      <c r="I17" s="184"/>
      <c r="J17" s="184"/>
      <c r="K17" s="184"/>
      <c r="L17" s="184"/>
      <c r="M17" s="184"/>
      <c r="N17" s="184"/>
      <c r="O17" s="184"/>
      <c r="P17" s="184"/>
      <c r="Q17" s="184"/>
    </row>
    <row r="18" spans="1:17" s="185" customFormat="1" ht="24.75" customHeight="1">
      <c r="A18" s="159" t="s">
        <v>168</v>
      </c>
      <c r="B18" s="158" t="s">
        <v>170</v>
      </c>
      <c r="C18" s="183"/>
      <c r="D18" s="183"/>
      <c r="E18" s="183"/>
      <c r="F18" s="184"/>
      <c r="G18" s="184"/>
      <c r="H18" s="184"/>
      <c r="I18" s="184"/>
      <c r="J18" s="184"/>
      <c r="K18" s="184"/>
      <c r="L18" s="184"/>
      <c r="M18" s="184"/>
      <c r="N18" s="184"/>
      <c r="O18" s="184"/>
      <c r="P18" s="184"/>
      <c r="Q18" s="184"/>
    </row>
    <row r="19" spans="1:17" s="185" customFormat="1" ht="33">
      <c r="A19" s="161" t="s">
        <v>35</v>
      </c>
      <c r="B19" s="162" t="s">
        <v>171</v>
      </c>
      <c r="C19" s="183"/>
      <c r="D19" s="183"/>
      <c r="E19" s="183"/>
      <c r="F19" s="184"/>
      <c r="G19" s="184"/>
      <c r="H19" s="184"/>
      <c r="I19" s="184"/>
      <c r="J19" s="184"/>
      <c r="K19" s="184"/>
      <c r="L19" s="184"/>
      <c r="M19" s="184"/>
      <c r="N19" s="184"/>
      <c r="O19" s="184"/>
      <c r="P19" s="184"/>
      <c r="Q19" s="184"/>
    </row>
    <row r="20" spans="1:17" s="185" customFormat="1" ht="24.75" customHeight="1">
      <c r="A20" s="161" t="s">
        <v>42</v>
      </c>
      <c r="B20" s="162" t="s">
        <v>174</v>
      </c>
      <c r="C20" s="183"/>
      <c r="D20" s="183"/>
      <c r="E20" s="183"/>
      <c r="F20" s="184"/>
      <c r="G20" s="184"/>
      <c r="H20" s="184"/>
      <c r="I20" s="184"/>
      <c r="J20" s="184"/>
      <c r="K20" s="184"/>
      <c r="L20" s="184"/>
      <c r="M20" s="184"/>
      <c r="N20" s="184"/>
      <c r="O20" s="184"/>
      <c r="P20" s="184"/>
      <c r="Q20" s="184"/>
    </row>
    <row r="21" spans="1:17" s="185" customFormat="1" ht="30" customHeight="1">
      <c r="A21" s="150">
        <v>2</v>
      </c>
      <c r="B21" s="165" t="s">
        <v>175</v>
      </c>
      <c r="C21" s="183"/>
      <c r="D21" s="183"/>
      <c r="E21" s="183"/>
      <c r="F21" s="184"/>
      <c r="G21" s="184"/>
      <c r="H21" s="184"/>
      <c r="I21" s="184"/>
      <c r="J21" s="184"/>
      <c r="K21" s="184"/>
      <c r="L21" s="184"/>
      <c r="M21" s="184"/>
      <c r="N21" s="184"/>
      <c r="O21" s="184"/>
      <c r="P21" s="184"/>
      <c r="Q21" s="184"/>
    </row>
    <row r="22" spans="1:17" s="185" customFormat="1" ht="24.75" customHeight="1">
      <c r="A22" s="155"/>
      <c r="B22" s="156" t="s">
        <v>14</v>
      </c>
      <c r="C22" s="183"/>
      <c r="D22" s="183"/>
      <c r="E22" s="183"/>
      <c r="F22" s="184"/>
      <c r="G22" s="184"/>
      <c r="H22" s="184"/>
      <c r="I22" s="184"/>
      <c r="J22" s="184"/>
      <c r="K22" s="184"/>
      <c r="L22" s="184"/>
      <c r="M22" s="184"/>
      <c r="N22" s="184"/>
      <c r="O22" s="184"/>
      <c r="P22" s="184"/>
      <c r="Q22" s="184"/>
    </row>
    <row r="23" spans="1:17" s="185" customFormat="1" ht="24.75" customHeight="1">
      <c r="A23" s="159" t="s">
        <v>168</v>
      </c>
      <c r="B23" s="158" t="s">
        <v>169</v>
      </c>
      <c r="C23" s="183"/>
      <c r="D23" s="183"/>
      <c r="E23" s="183"/>
      <c r="F23" s="184"/>
      <c r="G23" s="184"/>
      <c r="H23" s="184"/>
      <c r="I23" s="184"/>
      <c r="J23" s="184"/>
      <c r="K23" s="184"/>
      <c r="L23" s="184"/>
      <c r="M23" s="184"/>
      <c r="N23" s="184"/>
      <c r="O23" s="184"/>
      <c r="P23" s="184"/>
      <c r="Q23" s="184"/>
    </row>
    <row r="24" spans="1:17" s="185" customFormat="1" ht="24.75" customHeight="1">
      <c r="A24" s="159" t="s">
        <v>168</v>
      </c>
      <c r="B24" s="158" t="s">
        <v>170</v>
      </c>
      <c r="C24" s="183"/>
      <c r="D24" s="183"/>
      <c r="E24" s="183"/>
      <c r="F24" s="184"/>
      <c r="G24" s="184"/>
      <c r="H24" s="184"/>
      <c r="I24" s="184"/>
      <c r="J24" s="184"/>
      <c r="K24" s="184"/>
      <c r="L24" s="184"/>
      <c r="M24" s="184"/>
      <c r="N24" s="184"/>
      <c r="O24" s="184"/>
      <c r="P24" s="184"/>
      <c r="Q24" s="184"/>
    </row>
    <row r="25" spans="1:17" s="185" customFormat="1" ht="24.75" customHeight="1">
      <c r="A25" s="166" t="s">
        <v>35</v>
      </c>
      <c r="B25" s="167" t="s">
        <v>176</v>
      </c>
      <c r="C25" s="183"/>
      <c r="D25" s="183"/>
      <c r="E25" s="183"/>
      <c r="F25" s="184"/>
      <c r="G25" s="184"/>
      <c r="H25" s="184"/>
      <c r="I25" s="184"/>
      <c r="J25" s="184"/>
      <c r="K25" s="184"/>
      <c r="L25" s="184"/>
      <c r="M25" s="184"/>
      <c r="N25" s="184"/>
      <c r="O25" s="184"/>
      <c r="P25" s="184"/>
      <c r="Q25" s="184"/>
    </row>
    <row r="26" spans="1:17" s="185" customFormat="1" ht="24.75" customHeight="1">
      <c r="A26" s="155"/>
      <c r="B26" s="156" t="s">
        <v>14</v>
      </c>
      <c r="C26" s="183"/>
      <c r="D26" s="183"/>
      <c r="E26" s="183"/>
      <c r="F26" s="184"/>
      <c r="G26" s="184"/>
      <c r="H26" s="184"/>
      <c r="I26" s="184"/>
      <c r="J26" s="184"/>
      <c r="K26" s="184"/>
      <c r="L26" s="184"/>
      <c r="M26" s="184"/>
      <c r="N26" s="184"/>
      <c r="O26" s="184"/>
      <c r="P26" s="184"/>
      <c r="Q26" s="184"/>
    </row>
    <row r="27" spans="1:17" s="185" customFormat="1" ht="24.75" customHeight="1">
      <c r="A27" s="159" t="s">
        <v>168</v>
      </c>
      <c r="B27" s="158" t="s">
        <v>169</v>
      </c>
      <c r="C27" s="183"/>
      <c r="D27" s="183"/>
      <c r="E27" s="183"/>
      <c r="F27" s="184"/>
      <c r="G27" s="184"/>
      <c r="H27" s="184"/>
      <c r="I27" s="184"/>
      <c r="J27" s="184"/>
      <c r="K27" s="184"/>
      <c r="L27" s="184"/>
      <c r="M27" s="184"/>
      <c r="N27" s="184"/>
      <c r="O27" s="184"/>
      <c r="P27" s="184"/>
      <c r="Q27" s="184"/>
    </row>
    <row r="28" spans="1:17" s="185" customFormat="1" ht="24.75" customHeight="1">
      <c r="A28" s="159" t="s">
        <v>168</v>
      </c>
      <c r="B28" s="158" t="s">
        <v>170</v>
      </c>
      <c r="C28" s="183"/>
      <c r="D28" s="183"/>
      <c r="E28" s="183"/>
      <c r="F28" s="184"/>
      <c r="G28" s="184"/>
      <c r="H28" s="184"/>
      <c r="I28" s="184"/>
      <c r="J28" s="184"/>
      <c r="K28" s="184"/>
      <c r="L28" s="184"/>
      <c r="M28" s="184"/>
      <c r="N28" s="184"/>
      <c r="O28" s="184"/>
      <c r="P28" s="184"/>
      <c r="Q28" s="184"/>
    </row>
    <row r="29" spans="1:17" s="185" customFormat="1" ht="24.75" customHeight="1">
      <c r="A29" s="169">
        <v>-1</v>
      </c>
      <c r="B29" s="149" t="s">
        <v>177</v>
      </c>
      <c r="C29" s="183"/>
      <c r="D29" s="183"/>
      <c r="E29" s="183"/>
      <c r="F29" s="184"/>
      <c r="G29" s="184"/>
      <c r="H29" s="184"/>
      <c r="I29" s="184"/>
      <c r="J29" s="184"/>
      <c r="K29" s="184"/>
      <c r="L29" s="184"/>
      <c r="M29" s="184"/>
      <c r="N29" s="184"/>
      <c r="O29" s="184"/>
      <c r="P29" s="184"/>
      <c r="Q29" s="184"/>
    </row>
    <row r="30" spans="1:17" s="185" customFormat="1" ht="24.75" customHeight="1">
      <c r="A30" s="170" t="s">
        <v>168</v>
      </c>
      <c r="B30" s="149" t="s">
        <v>169</v>
      </c>
      <c r="C30" s="183"/>
      <c r="D30" s="183"/>
      <c r="E30" s="183"/>
      <c r="F30" s="184"/>
      <c r="G30" s="184"/>
      <c r="H30" s="184"/>
      <c r="I30" s="184"/>
      <c r="J30" s="184"/>
      <c r="K30" s="184"/>
      <c r="L30" s="184"/>
      <c r="M30" s="184"/>
      <c r="N30" s="184"/>
      <c r="O30" s="184"/>
      <c r="P30" s="184"/>
      <c r="Q30" s="184"/>
    </row>
    <row r="31" spans="1:17" s="185" customFormat="1" ht="24.75" customHeight="1">
      <c r="A31" s="170" t="s">
        <v>168</v>
      </c>
      <c r="B31" s="149" t="s">
        <v>170</v>
      </c>
      <c r="C31" s="183"/>
      <c r="D31" s="183"/>
      <c r="E31" s="183"/>
      <c r="F31" s="184"/>
      <c r="G31" s="184"/>
      <c r="H31" s="184"/>
      <c r="I31" s="184"/>
      <c r="J31" s="184"/>
      <c r="K31" s="184"/>
      <c r="L31" s="184"/>
      <c r="M31" s="184"/>
      <c r="N31" s="184"/>
      <c r="O31" s="184"/>
      <c r="P31" s="184"/>
      <c r="Q31" s="184"/>
    </row>
    <row r="32" spans="1:17" s="185" customFormat="1" ht="24.75" customHeight="1">
      <c r="A32" s="169">
        <v>-2</v>
      </c>
      <c r="B32" s="149" t="s">
        <v>177</v>
      </c>
      <c r="C32" s="183"/>
      <c r="D32" s="183"/>
      <c r="E32" s="183"/>
      <c r="F32" s="184"/>
      <c r="G32" s="184"/>
      <c r="H32" s="184"/>
      <c r="I32" s="184"/>
      <c r="J32" s="184"/>
      <c r="K32" s="184"/>
      <c r="L32" s="184"/>
      <c r="M32" s="184"/>
      <c r="N32" s="184"/>
      <c r="O32" s="184"/>
      <c r="P32" s="184"/>
      <c r="Q32" s="184"/>
    </row>
    <row r="33" spans="1:17" s="185" customFormat="1" ht="24.75" customHeight="1">
      <c r="A33" s="159"/>
      <c r="B33" s="158" t="s">
        <v>81</v>
      </c>
      <c r="C33" s="183"/>
      <c r="D33" s="183"/>
      <c r="E33" s="183"/>
      <c r="F33" s="184"/>
      <c r="G33" s="184"/>
      <c r="H33" s="184"/>
      <c r="I33" s="184"/>
      <c r="J33" s="184"/>
      <c r="K33" s="184"/>
      <c r="L33" s="184"/>
      <c r="M33" s="184"/>
      <c r="N33" s="184"/>
      <c r="O33" s="184"/>
      <c r="P33" s="184"/>
      <c r="Q33" s="184"/>
    </row>
    <row r="34" spans="1:17" s="185" customFormat="1" ht="24.75" customHeight="1">
      <c r="A34" s="159" t="s">
        <v>40</v>
      </c>
      <c r="B34" s="158" t="s">
        <v>40</v>
      </c>
      <c r="C34" s="183"/>
      <c r="D34" s="183"/>
      <c r="E34" s="183"/>
      <c r="F34" s="184"/>
      <c r="G34" s="184"/>
      <c r="H34" s="184"/>
      <c r="I34" s="184"/>
      <c r="J34" s="184"/>
      <c r="K34" s="184"/>
      <c r="L34" s="184"/>
      <c r="M34" s="184"/>
      <c r="N34" s="184"/>
      <c r="O34" s="184"/>
      <c r="P34" s="184"/>
      <c r="Q34" s="184"/>
    </row>
    <row r="35" spans="1:17" s="185" customFormat="1" ht="24.75" customHeight="1">
      <c r="A35" s="166" t="s">
        <v>42</v>
      </c>
      <c r="B35" s="167" t="s">
        <v>178</v>
      </c>
      <c r="C35" s="183"/>
      <c r="D35" s="183"/>
      <c r="E35" s="183"/>
      <c r="F35" s="184"/>
      <c r="G35" s="184"/>
      <c r="H35" s="184"/>
      <c r="I35" s="184"/>
      <c r="J35" s="184"/>
      <c r="K35" s="184"/>
      <c r="L35" s="184"/>
      <c r="M35" s="184"/>
      <c r="N35" s="184"/>
      <c r="O35" s="184"/>
      <c r="P35" s="184"/>
      <c r="Q35" s="184"/>
    </row>
    <row r="36" spans="1:17" s="185" customFormat="1" ht="24.75" customHeight="1">
      <c r="A36" s="155"/>
      <c r="B36" s="156" t="s">
        <v>14</v>
      </c>
      <c r="C36" s="183"/>
      <c r="D36" s="183"/>
      <c r="E36" s="183"/>
      <c r="F36" s="184"/>
      <c r="G36" s="184"/>
      <c r="H36" s="184"/>
      <c r="I36" s="184"/>
      <c r="J36" s="184"/>
      <c r="K36" s="184"/>
      <c r="L36" s="184"/>
      <c r="M36" s="184"/>
      <c r="N36" s="184"/>
      <c r="O36" s="184"/>
      <c r="P36" s="184"/>
      <c r="Q36" s="184"/>
    </row>
    <row r="37" spans="1:17" s="185" customFormat="1" ht="24.75" customHeight="1">
      <c r="A37" s="159" t="s">
        <v>168</v>
      </c>
      <c r="B37" s="158" t="s">
        <v>169</v>
      </c>
      <c r="C37" s="183"/>
      <c r="D37" s="183"/>
      <c r="E37" s="183"/>
      <c r="F37" s="184"/>
      <c r="G37" s="184"/>
      <c r="H37" s="184"/>
      <c r="I37" s="184"/>
      <c r="J37" s="184"/>
      <c r="K37" s="184"/>
      <c r="L37" s="184"/>
      <c r="M37" s="184"/>
      <c r="N37" s="184"/>
      <c r="O37" s="184"/>
      <c r="P37" s="184"/>
      <c r="Q37" s="184"/>
    </row>
    <row r="38" spans="1:17" s="185" customFormat="1" ht="24.75" customHeight="1">
      <c r="A38" s="159" t="s">
        <v>168</v>
      </c>
      <c r="B38" s="158" t="s">
        <v>170</v>
      </c>
      <c r="C38" s="183"/>
      <c r="D38" s="183"/>
      <c r="E38" s="183"/>
      <c r="F38" s="184"/>
      <c r="G38" s="184"/>
      <c r="H38" s="184"/>
      <c r="I38" s="184"/>
      <c r="J38" s="184"/>
      <c r="K38" s="184"/>
      <c r="L38" s="184"/>
      <c r="M38" s="184"/>
      <c r="N38" s="184"/>
      <c r="O38" s="184"/>
      <c r="P38" s="184"/>
      <c r="Q38" s="184"/>
    </row>
    <row r="39" spans="1:17" s="185" customFormat="1" ht="24.75" customHeight="1">
      <c r="A39" s="169">
        <v>-1</v>
      </c>
      <c r="B39" s="149" t="s">
        <v>177</v>
      </c>
      <c r="C39" s="183"/>
      <c r="D39" s="183"/>
      <c r="E39" s="183"/>
      <c r="F39" s="184"/>
      <c r="G39" s="184"/>
      <c r="H39" s="184"/>
      <c r="I39" s="184"/>
      <c r="J39" s="184"/>
      <c r="K39" s="184"/>
      <c r="L39" s="184"/>
      <c r="M39" s="184"/>
      <c r="N39" s="184"/>
      <c r="O39" s="184"/>
      <c r="P39" s="184"/>
      <c r="Q39" s="184"/>
    </row>
    <row r="40" spans="1:17" s="185" customFormat="1" ht="24.75" customHeight="1">
      <c r="A40" s="170" t="s">
        <v>168</v>
      </c>
      <c r="B40" s="149" t="s">
        <v>169</v>
      </c>
      <c r="C40" s="183"/>
      <c r="D40" s="183"/>
      <c r="E40" s="183"/>
      <c r="F40" s="184"/>
      <c r="G40" s="184"/>
      <c r="H40" s="184"/>
      <c r="I40" s="184"/>
      <c r="J40" s="184"/>
      <c r="K40" s="184"/>
      <c r="L40" s="184"/>
      <c r="M40" s="184"/>
      <c r="N40" s="184"/>
      <c r="O40" s="184"/>
      <c r="P40" s="184"/>
      <c r="Q40" s="184"/>
    </row>
    <row r="41" spans="1:17" s="185" customFormat="1" ht="24.75" customHeight="1">
      <c r="A41" s="170" t="s">
        <v>168</v>
      </c>
      <c r="B41" s="149" t="s">
        <v>170</v>
      </c>
      <c r="C41" s="183"/>
      <c r="D41" s="183"/>
      <c r="E41" s="183"/>
      <c r="F41" s="184"/>
      <c r="G41" s="184"/>
      <c r="H41" s="184"/>
      <c r="I41" s="184"/>
      <c r="J41" s="184"/>
      <c r="K41" s="184"/>
      <c r="L41" s="184"/>
      <c r="M41" s="184"/>
      <c r="N41" s="184"/>
      <c r="O41" s="184"/>
      <c r="P41" s="184"/>
      <c r="Q41" s="184"/>
    </row>
    <row r="42" spans="1:17" s="185" customFormat="1" ht="24.75" customHeight="1">
      <c r="A42" s="169">
        <v>-2</v>
      </c>
      <c r="B42" s="149" t="s">
        <v>177</v>
      </c>
      <c r="C42" s="183"/>
      <c r="D42" s="183"/>
      <c r="E42" s="183"/>
      <c r="F42" s="184"/>
      <c r="G42" s="184"/>
      <c r="H42" s="184"/>
      <c r="I42" s="184"/>
      <c r="J42" s="184"/>
      <c r="K42" s="184"/>
      <c r="L42" s="184"/>
      <c r="M42" s="184"/>
      <c r="N42" s="184"/>
      <c r="O42" s="184"/>
      <c r="P42" s="184"/>
      <c r="Q42" s="184"/>
    </row>
    <row r="43" spans="1:17" s="185" customFormat="1" ht="24.75" customHeight="1">
      <c r="A43" s="159"/>
      <c r="B43" s="158" t="s">
        <v>81</v>
      </c>
      <c r="C43" s="183"/>
      <c r="D43" s="183"/>
      <c r="E43" s="183"/>
      <c r="F43" s="184"/>
      <c r="G43" s="184"/>
      <c r="H43" s="184"/>
      <c r="I43" s="184"/>
      <c r="J43" s="184"/>
      <c r="K43" s="184"/>
      <c r="L43" s="184"/>
      <c r="M43" s="184"/>
      <c r="N43" s="184"/>
      <c r="O43" s="184"/>
      <c r="P43" s="184"/>
      <c r="Q43" s="184"/>
    </row>
    <row r="44" spans="1:17" s="185" customFormat="1" ht="24.75" customHeight="1">
      <c r="A44" s="159" t="s">
        <v>40</v>
      </c>
      <c r="B44" s="158" t="s">
        <v>40</v>
      </c>
      <c r="C44" s="183"/>
      <c r="D44" s="183"/>
      <c r="E44" s="183"/>
      <c r="F44" s="184"/>
      <c r="G44" s="184"/>
      <c r="H44" s="184"/>
      <c r="I44" s="184"/>
      <c r="J44" s="184"/>
      <c r="K44" s="184"/>
      <c r="L44" s="184"/>
      <c r="M44" s="184"/>
      <c r="N44" s="184"/>
      <c r="O44" s="184"/>
      <c r="P44" s="184"/>
      <c r="Q44" s="184"/>
    </row>
    <row r="45" spans="1:17" s="185" customFormat="1" ht="24.75" customHeight="1">
      <c r="A45" s="150" t="s">
        <v>48</v>
      </c>
      <c r="B45" s="154" t="s">
        <v>16</v>
      </c>
      <c r="C45" s="183"/>
      <c r="D45" s="183"/>
      <c r="E45" s="183"/>
      <c r="F45" s="184"/>
      <c r="G45" s="184"/>
      <c r="H45" s="184"/>
      <c r="I45" s="184"/>
      <c r="J45" s="184"/>
      <c r="K45" s="184"/>
      <c r="L45" s="184"/>
      <c r="M45" s="184"/>
      <c r="N45" s="184"/>
      <c r="O45" s="184"/>
      <c r="P45" s="184"/>
      <c r="Q45" s="184"/>
    </row>
    <row r="46" spans="1:17" s="185" customFormat="1" ht="24.75" customHeight="1">
      <c r="A46" s="147">
        <v>1</v>
      </c>
      <c r="B46" s="171" t="s">
        <v>179</v>
      </c>
      <c r="C46" s="183"/>
      <c r="D46" s="183"/>
      <c r="E46" s="183"/>
      <c r="F46" s="184"/>
      <c r="G46" s="184"/>
      <c r="H46" s="184"/>
      <c r="I46" s="184"/>
      <c r="J46" s="184"/>
      <c r="K46" s="184"/>
      <c r="L46" s="184"/>
      <c r="M46" s="184"/>
      <c r="N46" s="184"/>
      <c r="O46" s="184"/>
      <c r="P46" s="184"/>
      <c r="Q46" s="184"/>
    </row>
    <row r="47" spans="1:17" s="185" customFormat="1" ht="24.75" customHeight="1">
      <c r="A47" s="147">
        <v>2</v>
      </c>
      <c r="B47" s="171" t="s">
        <v>179</v>
      </c>
      <c r="C47" s="183"/>
      <c r="D47" s="183"/>
      <c r="E47" s="183"/>
      <c r="F47" s="184"/>
      <c r="G47" s="184"/>
      <c r="H47" s="184"/>
      <c r="I47" s="184"/>
      <c r="J47" s="184"/>
      <c r="K47" s="184"/>
      <c r="L47" s="184"/>
      <c r="M47" s="184"/>
      <c r="N47" s="184"/>
      <c r="O47" s="184"/>
      <c r="P47" s="184"/>
      <c r="Q47" s="184"/>
    </row>
    <row r="48" spans="1:17" s="185" customFormat="1" ht="24.75" customHeight="1">
      <c r="A48" s="147" t="s">
        <v>40</v>
      </c>
      <c r="B48" s="149" t="s">
        <v>40</v>
      </c>
      <c r="C48" s="183"/>
      <c r="D48" s="183"/>
      <c r="E48" s="183"/>
      <c r="F48" s="184"/>
      <c r="G48" s="184"/>
      <c r="H48" s="184"/>
      <c r="I48" s="184"/>
      <c r="J48" s="184"/>
      <c r="K48" s="184"/>
      <c r="L48" s="184"/>
      <c r="M48" s="184"/>
      <c r="N48" s="184"/>
      <c r="O48" s="184"/>
      <c r="P48" s="184"/>
      <c r="Q48" s="184"/>
    </row>
    <row r="49" spans="1:17" s="185" customFormat="1" ht="24.75" customHeight="1">
      <c r="A49" s="150" t="s">
        <v>180</v>
      </c>
      <c r="B49" s="154" t="s">
        <v>181</v>
      </c>
      <c r="C49" s="183"/>
      <c r="D49" s="183"/>
      <c r="E49" s="183"/>
      <c r="F49" s="184"/>
      <c r="G49" s="184"/>
      <c r="H49" s="184"/>
      <c r="I49" s="184"/>
      <c r="J49" s="184"/>
      <c r="K49" s="184"/>
      <c r="L49" s="184"/>
      <c r="M49" s="184"/>
      <c r="N49" s="184"/>
      <c r="O49" s="184"/>
      <c r="P49" s="184"/>
      <c r="Q49" s="184"/>
    </row>
    <row r="50" spans="1:17" s="185" customFormat="1" ht="24.75" customHeight="1">
      <c r="A50" s="147">
        <v>1</v>
      </c>
      <c r="B50" s="171" t="s">
        <v>179</v>
      </c>
      <c r="C50" s="183"/>
      <c r="D50" s="183"/>
      <c r="E50" s="183"/>
      <c r="F50" s="184"/>
      <c r="G50" s="184"/>
      <c r="H50" s="184"/>
      <c r="I50" s="184"/>
      <c r="J50" s="184"/>
      <c r="K50" s="184"/>
      <c r="L50" s="184"/>
      <c r="M50" s="184"/>
      <c r="N50" s="184"/>
      <c r="O50" s="184"/>
      <c r="P50" s="184"/>
      <c r="Q50" s="184"/>
    </row>
    <row r="51" spans="1:17" s="185" customFormat="1" ht="24.75" customHeight="1">
      <c r="A51" s="147">
        <v>2</v>
      </c>
      <c r="B51" s="171" t="s">
        <v>179</v>
      </c>
      <c r="C51" s="183"/>
      <c r="D51" s="183"/>
      <c r="E51" s="183"/>
      <c r="F51" s="184"/>
      <c r="G51" s="184"/>
      <c r="H51" s="184"/>
      <c r="I51" s="184"/>
      <c r="J51" s="184"/>
      <c r="K51" s="184"/>
      <c r="L51" s="184"/>
      <c r="M51" s="184"/>
      <c r="N51" s="184"/>
      <c r="O51" s="184"/>
      <c r="P51" s="184"/>
      <c r="Q51" s="184"/>
    </row>
    <row r="52" spans="1:17" s="185" customFormat="1" ht="24.75" customHeight="1">
      <c r="A52" s="147" t="s">
        <v>40</v>
      </c>
      <c r="B52" s="149" t="s">
        <v>40</v>
      </c>
      <c r="C52" s="183"/>
      <c r="D52" s="183"/>
      <c r="E52" s="183"/>
      <c r="F52" s="184"/>
      <c r="G52" s="184"/>
      <c r="H52" s="184"/>
      <c r="I52" s="184"/>
      <c r="J52" s="184"/>
      <c r="K52" s="184"/>
      <c r="L52" s="184"/>
      <c r="M52" s="184"/>
      <c r="N52" s="184"/>
      <c r="O52" s="184"/>
      <c r="P52" s="184"/>
      <c r="Q52" s="184"/>
    </row>
    <row r="53" spans="1:17" s="185" customFormat="1" ht="24.75" customHeight="1">
      <c r="A53" s="150" t="s">
        <v>136</v>
      </c>
      <c r="B53" s="154" t="s">
        <v>17</v>
      </c>
      <c r="C53" s="183"/>
      <c r="D53" s="183"/>
      <c r="E53" s="183"/>
      <c r="F53" s="184"/>
      <c r="G53" s="184"/>
      <c r="H53" s="184"/>
      <c r="I53" s="184"/>
      <c r="J53" s="184"/>
      <c r="K53" s="184"/>
      <c r="L53" s="184"/>
      <c r="M53" s="184"/>
      <c r="N53" s="184"/>
      <c r="O53" s="184"/>
      <c r="P53" s="184"/>
      <c r="Q53" s="184"/>
    </row>
    <row r="54" spans="1:17" s="185" customFormat="1" ht="24.75" customHeight="1">
      <c r="A54" s="147">
        <v>1</v>
      </c>
      <c r="B54" s="171" t="s">
        <v>179</v>
      </c>
      <c r="C54" s="183"/>
      <c r="D54" s="183"/>
      <c r="E54" s="183"/>
      <c r="F54" s="184"/>
      <c r="G54" s="184"/>
      <c r="H54" s="184"/>
      <c r="I54" s="184"/>
      <c r="J54" s="184"/>
      <c r="K54" s="184"/>
      <c r="L54" s="184"/>
      <c r="M54" s="184"/>
      <c r="N54" s="184"/>
      <c r="O54" s="184"/>
      <c r="P54" s="184"/>
      <c r="Q54" s="184"/>
    </row>
    <row r="55" spans="1:17" s="185" customFormat="1" ht="24.75" customHeight="1">
      <c r="A55" s="147">
        <v>2</v>
      </c>
      <c r="B55" s="171" t="s">
        <v>179</v>
      </c>
      <c r="C55" s="183"/>
      <c r="D55" s="183"/>
      <c r="E55" s="183"/>
      <c r="F55" s="184"/>
      <c r="G55" s="184"/>
      <c r="H55" s="184"/>
      <c r="I55" s="184"/>
      <c r="J55" s="184"/>
      <c r="K55" s="184"/>
      <c r="L55" s="184"/>
      <c r="M55" s="184"/>
      <c r="N55" s="184"/>
      <c r="O55" s="184"/>
      <c r="P55" s="184"/>
      <c r="Q55" s="184"/>
    </row>
    <row r="56" spans="1:17" s="185" customFormat="1" ht="24.75" customHeight="1">
      <c r="A56" s="147" t="s">
        <v>40</v>
      </c>
      <c r="B56" s="149" t="s">
        <v>40</v>
      </c>
      <c r="C56" s="183"/>
      <c r="D56" s="183"/>
      <c r="E56" s="183"/>
      <c r="F56" s="184"/>
      <c r="G56" s="184"/>
      <c r="H56" s="184"/>
      <c r="I56" s="184"/>
      <c r="J56" s="184"/>
      <c r="K56" s="184"/>
      <c r="L56" s="184"/>
      <c r="M56" s="184"/>
      <c r="N56" s="184"/>
      <c r="O56" s="184"/>
      <c r="P56" s="184"/>
      <c r="Q56" s="184"/>
    </row>
    <row r="57" spans="1:17" s="185" customFormat="1" ht="33">
      <c r="A57" s="150" t="s">
        <v>138</v>
      </c>
      <c r="B57" s="154" t="s">
        <v>18</v>
      </c>
      <c r="C57" s="183"/>
      <c r="D57" s="183"/>
      <c r="E57" s="183"/>
      <c r="F57" s="184"/>
      <c r="G57" s="184"/>
      <c r="H57" s="184"/>
      <c r="I57" s="184"/>
      <c r="J57" s="184"/>
      <c r="K57" s="184"/>
      <c r="L57" s="184"/>
      <c r="M57" s="184"/>
      <c r="N57" s="184"/>
      <c r="O57" s="184"/>
      <c r="P57" s="184"/>
      <c r="Q57" s="184"/>
    </row>
    <row r="58" spans="1:17" s="185" customFormat="1" ht="24.75" customHeight="1">
      <c r="A58" s="147">
        <v>1</v>
      </c>
      <c r="B58" s="171" t="s">
        <v>179</v>
      </c>
      <c r="C58" s="183"/>
      <c r="D58" s="183"/>
      <c r="E58" s="183"/>
      <c r="F58" s="184"/>
      <c r="G58" s="184"/>
      <c r="H58" s="184"/>
      <c r="I58" s="184"/>
      <c r="J58" s="184"/>
      <c r="K58" s="184"/>
      <c r="L58" s="184"/>
      <c r="M58" s="184"/>
      <c r="N58" s="184"/>
      <c r="O58" s="184"/>
      <c r="P58" s="184"/>
      <c r="Q58" s="184"/>
    </row>
    <row r="59" spans="1:17" s="185" customFormat="1" ht="24.75" customHeight="1">
      <c r="A59" s="147">
        <v>2</v>
      </c>
      <c r="B59" s="171" t="s">
        <v>179</v>
      </c>
      <c r="C59" s="183"/>
      <c r="D59" s="183"/>
      <c r="E59" s="183"/>
      <c r="F59" s="184"/>
      <c r="G59" s="184"/>
      <c r="H59" s="184"/>
      <c r="I59" s="184"/>
      <c r="J59" s="184"/>
      <c r="K59" s="184"/>
      <c r="L59" s="184"/>
      <c r="M59" s="184"/>
      <c r="N59" s="184"/>
      <c r="O59" s="184"/>
      <c r="P59" s="184"/>
      <c r="Q59" s="184"/>
    </row>
    <row r="60" spans="1:17" s="185" customFormat="1" ht="24.75" customHeight="1">
      <c r="A60" s="147" t="s">
        <v>40</v>
      </c>
      <c r="B60" s="149" t="s">
        <v>40</v>
      </c>
      <c r="C60" s="183"/>
      <c r="D60" s="183"/>
      <c r="E60" s="183"/>
      <c r="F60" s="184"/>
      <c r="G60" s="184"/>
      <c r="H60" s="184"/>
      <c r="I60" s="184"/>
      <c r="J60" s="184"/>
      <c r="K60" s="184"/>
      <c r="L60" s="184"/>
      <c r="M60" s="184"/>
      <c r="N60" s="184"/>
      <c r="O60" s="184"/>
      <c r="P60" s="184"/>
      <c r="Q60" s="184"/>
    </row>
    <row r="61" spans="1:17" s="185" customFormat="1" ht="49.5">
      <c r="A61" s="150" t="s">
        <v>183</v>
      </c>
      <c r="B61" s="154" t="s">
        <v>182</v>
      </c>
      <c r="C61" s="183"/>
      <c r="D61" s="183"/>
      <c r="E61" s="183"/>
      <c r="F61" s="184"/>
      <c r="G61" s="184"/>
      <c r="H61" s="184"/>
      <c r="I61" s="184"/>
      <c r="J61" s="184"/>
      <c r="K61" s="184"/>
      <c r="L61" s="184"/>
      <c r="M61" s="184"/>
      <c r="N61" s="184"/>
      <c r="O61" s="184"/>
      <c r="P61" s="184"/>
      <c r="Q61" s="184"/>
    </row>
    <row r="62" spans="1:17" s="185" customFormat="1" ht="24.75" customHeight="1">
      <c r="A62" s="147">
        <v>1</v>
      </c>
      <c r="B62" s="171" t="s">
        <v>179</v>
      </c>
      <c r="C62" s="183"/>
      <c r="D62" s="183"/>
      <c r="E62" s="183"/>
      <c r="F62" s="184"/>
      <c r="G62" s="184"/>
      <c r="H62" s="184"/>
      <c r="I62" s="184"/>
      <c r="J62" s="184"/>
      <c r="K62" s="184"/>
      <c r="L62" s="184"/>
      <c r="M62" s="184"/>
      <c r="N62" s="184"/>
      <c r="O62" s="184"/>
      <c r="P62" s="184"/>
      <c r="Q62" s="184"/>
    </row>
    <row r="63" spans="1:17" s="185" customFormat="1" ht="24.75" customHeight="1">
      <c r="A63" s="147">
        <v>2</v>
      </c>
      <c r="B63" s="171" t="s">
        <v>179</v>
      </c>
      <c r="C63" s="183"/>
      <c r="D63" s="183"/>
      <c r="E63" s="183"/>
      <c r="F63" s="184"/>
      <c r="G63" s="184"/>
      <c r="H63" s="184"/>
      <c r="I63" s="184"/>
      <c r="J63" s="184"/>
      <c r="K63" s="184"/>
      <c r="L63" s="184"/>
      <c r="M63" s="184"/>
      <c r="N63" s="184"/>
      <c r="O63" s="184"/>
      <c r="P63" s="184"/>
      <c r="Q63" s="184"/>
    </row>
    <row r="64" spans="1:17" s="185" customFormat="1" ht="24.75" customHeight="1">
      <c r="A64" s="147" t="s">
        <v>40</v>
      </c>
      <c r="B64" s="149" t="s">
        <v>40</v>
      </c>
      <c r="C64" s="183"/>
      <c r="D64" s="183"/>
      <c r="E64" s="183"/>
      <c r="F64" s="184"/>
      <c r="G64" s="184"/>
      <c r="H64" s="184"/>
      <c r="I64" s="184"/>
      <c r="J64" s="184"/>
      <c r="K64" s="184"/>
      <c r="L64" s="184"/>
      <c r="M64" s="184"/>
      <c r="N64" s="184"/>
      <c r="O64" s="184"/>
      <c r="P64" s="184"/>
      <c r="Q64" s="184"/>
    </row>
    <row r="65" spans="1:19" s="185" customFormat="1" ht="33">
      <c r="A65" s="150" t="s">
        <v>185</v>
      </c>
      <c r="B65" s="154" t="s">
        <v>186</v>
      </c>
      <c r="C65" s="183"/>
      <c r="D65" s="183"/>
      <c r="E65" s="183"/>
      <c r="F65" s="184"/>
      <c r="G65" s="184"/>
      <c r="H65" s="184"/>
      <c r="I65" s="184"/>
      <c r="J65" s="184"/>
      <c r="K65" s="184"/>
      <c r="L65" s="184"/>
      <c r="M65" s="184"/>
      <c r="N65" s="184"/>
      <c r="O65" s="184"/>
      <c r="P65" s="184"/>
      <c r="Q65" s="184"/>
    </row>
    <row r="66" spans="1:19" s="185" customFormat="1" ht="24.75" customHeight="1">
      <c r="A66" s="147">
        <v>1</v>
      </c>
      <c r="B66" s="171" t="s">
        <v>179</v>
      </c>
      <c r="C66" s="183"/>
      <c r="D66" s="183"/>
      <c r="E66" s="183"/>
      <c r="F66" s="184"/>
      <c r="G66" s="184"/>
      <c r="H66" s="184"/>
      <c r="I66" s="184"/>
      <c r="J66" s="184"/>
      <c r="K66" s="184"/>
      <c r="L66" s="184"/>
      <c r="M66" s="184"/>
      <c r="N66" s="184"/>
      <c r="O66" s="184"/>
      <c r="P66" s="184"/>
      <c r="Q66" s="184"/>
    </row>
    <row r="67" spans="1:19" s="185" customFormat="1" ht="24.75" customHeight="1">
      <c r="A67" s="147">
        <v>2</v>
      </c>
      <c r="B67" s="171" t="s">
        <v>179</v>
      </c>
      <c r="C67" s="183"/>
      <c r="D67" s="183"/>
      <c r="E67" s="183"/>
      <c r="F67" s="184"/>
      <c r="G67" s="184"/>
      <c r="H67" s="184"/>
      <c r="I67" s="184"/>
      <c r="J67" s="184"/>
      <c r="K67" s="184"/>
      <c r="L67" s="184"/>
      <c r="M67" s="184"/>
      <c r="N67" s="184"/>
      <c r="O67" s="184"/>
      <c r="P67" s="184"/>
      <c r="Q67" s="184"/>
    </row>
    <row r="68" spans="1:19" s="185" customFormat="1" ht="24.75" customHeight="1">
      <c r="A68" s="147" t="s">
        <v>40</v>
      </c>
      <c r="B68" s="149" t="s">
        <v>40</v>
      </c>
      <c r="C68" s="183"/>
      <c r="D68" s="183"/>
      <c r="E68" s="183"/>
      <c r="F68" s="184"/>
      <c r="G68" s="184"/>
      <c r="H68" s="184"/>
      <c r="I68" s="184"/>
      <c r="J68" s="184"/>
      <c r="K68" s="184"/>
      <c r="L68" s="184"/>
      <c r="M68" s="184"/>
      <c r="N68" s="184"/>
      <c r="O68" s="184"/>
      <c r="P68" s="184"/>
      <c r="Q68" s="184"/>
    </row>
    <row r="69" spans="1:19" ht="7.9" customHeight="1">
      <c r="A69" s="186"/>
      <c r="B69" s="154"/>
      <c r="C69" s="187"/>
      <c r="D69" s="187"/>
      <c r="E69" s="187"/>
      <c r="F69" s="187"/>
      <c r="G69" s="187"/>
      <c r="H69" s="187"/>
      <c r="I69" s="187"/>
      <c r="J69" s="187"/>
      <c r="K69" s="187"/>
      <c r="L69" s="182"/>
      <c r="M69" s="182"/>
      <c r="N69" s="182"/>
      <c r="O69" s="182"/>
      <c r="P69" s="182"/>
      <c r="Q69" s="182"/>
      <c r="S69" s="174" t="s">
        <v>193</v>
      </c>
    </row>
    <row r="71" spans="1:19" ht="15.75">
      <c r="B71" s="172" t="s">
        <v>19</v>
      </c>
    </row>
    <row r="72" spans="1:19" ht="15.75">
      <c r="B72" s="173" t="s">
        <v>20</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C000"/>
    <pageSetUpPr fitToPage="1"/>
  </sheetPr>
  <dimension ref="A1:Q431"/>
  <sheetViews>
    <sheetView zoomScalePageLayoutView="50" workbookViewId="0">
      <selection activeCell="A2" sqref="A2:I2"/>
    </sheetView>
  </sheetViews>
  <sheetFormatPr defaultColWidth="9.140625" defaultRowHeight="18.75"/>
  <cols>
    <col min="1" max="1" width="5.140625" style="136" customWidth="1"/>
    <col min="2" max="2" width="51.5703125" style="40" customWidth="1"/>
    <col min="3" max="3" width="13.28515625" style="43" customWidth="1"/>
    <col min="4" max="4" width="13.7109375" style="43" customWidth="1"/>
    <col min="5" max="5" width="13.28515625" style="43" customWidth="1"/>
    <col min="6" max="6" width="13.28515625" style="3" customWidth="1"/>
    <col min="7" max="8" width="11.7109375" style="3" customWidth="1"/>
    <col min="9" max="10" width="14" style="3" customWidth="1"/>
    <col min="11" max="11" width="14.140625" style="3" customWidth="1"/>
    <col min="12" max="12" width="18.5703125" style="13" customWidth="1"/>
    <col min="13" max="14" width="14.28515625" style="13" customWidth="1"/>
    <col min="15" max="15" width="13.85546875" style="13" customWidth="1"/>
    <col min="16" max="16" width="11.85546875" style="13" customWidth="1"/>
    <col min="17" max="18" width="13.7109375" style="13" customWidth="1"/>
    <col min="19" max="20" width="15.28515625" style="13" customWidth="1"/>
    <col min="21" max="16384" width="9.140625" style="13"/>
  </cols>
  <sheetData>
    <row r="1" spans="1:17" ht="31.9" customHeight="1">
      <c r="A1" s="679" t="s">
        <v>207</v>
      </c>
      <c r="B1" s="679"/>
      <c r="C1" s="679"/>
      <c r="D1" s="679"/>
      <c r="E1" s="679"/>
      <c r="F1" s="679"/>
      <c r="G1" s="679"/>
      <c r="H1" s="679"/>
      <c r="I1" s="679"/>
      <c r="J1" s="189"/>
      <c r="K1" s="798" t="s">
        <v>0</v>
      </c>
      <c r="L1" s="798"/>
      <c r="M1" s="798"/>
      <c r="N1" s="798"/>
      <c r="O1" s="798"/>
      <c r="P1" s="798"/>
      <c r="Q1" s="138"/>
    </row>
    <row r="2" spans="1:17" ht="31.9" customHeight="1">
      <c r="A2" s="788" t="s">
        <v>1</v>
      </c>
      <c r="B2" s="788"/>
      <c r="C2" s="788"/>
      <c r="D2" s="788"/>
      <c r="E2" s="788"/>
      <c r="F2" s="788"/>
      <c r="G2" s="788"/>
      <c r="H2" s="788"/>
      <c r="I2" s="788"/>
      <c r="J2" s="190"/>
      <c r="K2" s="799" t="s">
        <v>2</v>
      </c>
      <c r="L2" s="799"/>
      <c r="M2" s="799"/>
      <c r="N2" s="799"/>
      <c r="O2" s="799"/>
      <c r="P2" s="799"/>
      <c r="Q2" s="141"/>
    </row>
    <row r="3" spans="1:17" s="14" customFormat="1" ht="42" customHeight="1">
      <c r="A3" s="746" t="s">
        <v>156</v>
      </c>
      <c r="B3" s="746"/>
      <c r="C3" s="746"/>
      <c r="D3" s="746"/>
      <c r="E3" s="746"/>
      <c r="F3" s="746"/>
      <c r="G3" s="746"/>
      <c r="H3" s="746"/>
      <c r="I3" s="746"/>
      <c r="J3" s="746"/>
      <c r="K3" s="746"/>
      <c r="L3" s="746"/>
      <c r="M3" s="746"/>
      <c r="N3" s="746"/>
      <c r="O3" s="746"/>
      <c r="P3" s="746"/>
    </row>
    <row r="4" spans="1:17" s="14" customFormat="1" ht="32.25" customHeight="1">
      <c r="A4" s="805" t="s">
        <v>195</v>
      </c>
      <c r="B4" s="805"/>
      <c r="C4" s="805"/>
      <c r="D4" s="805"/>
      <c r="E4" s="805"/>
      <c r="F4" s="805"/>
      <c r="G4" s="805"/>
      <c r="H4" s="805"/>
      <c r="I4" s="805"/>
      <c r="J4" s="805"/>
      <c r="K4" s="805"/>
      <c r="L4" s="805"/>
      <c r="M4" s="805"/>
      <c r="N4" s="805"/>
      <c r="O4" s="805"/>
      <c r="P4" s="805"/>
    </row>
    <row r="5" spans="1:17" ht="45.75" customHeight="1">
      <c r="A5" s="679" t="s">
        <v>208</v>
      </c>
      <c r="B5" s="679"/>
      <c r="C5" s="679"/>
      <c r="D5" s="679"/>
      <c r="E5" s="679"/>
      <c r="F5" s="679"/>
      <c r="G5" s="679"/>
      <c r="H5" s="679"/>
      <c r="I5" s="679"/>
      <c r="J5" s="679"/>
      <c r="K5" s="679"/>
      <c r="L5" s="679"/>
      <c r="M5" s="679"/>
      <c r="N5" s="679"/>
      <c r="O5" s="679"/>
      <c r="P5" s="679"/>
    </row>
    <row r="6" spans="1:17" ht="29.25" customHeight="1">
      <c r="A6" s="802"/>
      <c r="B6" s="802"/>
      <c r="C6" s="802"/>
      <c r="D6" s="802"/>
      <c r="E6" s="802"/>
      <c r="F6" s="802"/>
      <c r="G6" s="802"/>
      <c r="H6" s="802"/>
      <c r="I6" s="802"/>
      <c r="J6" s="802"/>
      <c r="K6" s="802"/>
      <c r="L6" s="802"/>
      <c r="M6" s="802"/>
      <c r="N6" s="802"/>
      <c r="O6" s="802"/>
      <c r="P6" s="802"/>
    </row>
    <row r="7" spans="1:17" s="15" customFormat="1" ht="35.65" customHeight="1">
      <c r="A7" s="803" t="s">
        <v>3</v>
      </c>
      <c r="B7" s="803"/>
      <c r="C7" s="803"/>
      <c r="D7" s="803"/>
      <c r="E7" s="803"/>
      <c r="F7" s="803"/>
      <c r="G7" s="803"/>
      <c r="H7" s="803"/>
      <c r="I7" s="803"/>
      <c r="J7" s="803"/>
      <c r="K7" s="803"/>
      <c r="L7" s="803"/>
      <c r="M7" s="803"/>
      <c r="N7" s="803"/>
      <c r="O7" s="803"/>
      <c r="P7" s="803"/>
    </row>
    <row r="8" spans="1:17" s="17" customFormat="1" ht="66" customHeight="1">
      <c r="A8" s="804" t="s">
        <v>22</v>
      </c>
      <c r="B8" s="704" t="s">
        <v>23</v>
      </c>
      <c r="C8" s="704" t="s">
        <v>24</v>
      </c>
      <c r="D8" s="704" t="s">
        <v>26</v>
      </c>
      <c r="E8" s="701" t="s">
        <v>27</v>
      </c>
      <c r="F8" s="702"/>
      <c r="G8" s="702"/>
      <c r="H8" s="703"/>
      <c r="I8" s="709" t="s">
        <v>209</v>
      </c>
      <c r="J8" s="709"/>
      <c r="K8" s="710"/>
      <c r="L8" s="698" t="s">
        <v>210</v>
      </c>
      <c r="M8" s="714" t="s">
        <v>211</v>
      </c>
      <c r="N8" s="715"/>
      <c r="O8" s="715"/>
      <c r="P8" s="704" t="s">
        <v>7</v>
      </c>
    </row>
    <row r="9" spans="1:17" s="17" customFormat="1" ht="36" customHeight="1">
      <c r="A9" s="804"/>
      <c r="B9" s="704"/>
      <c r="C9" s="704"/>
      <c r="D9" s="704"/>
      <c r="E9" s="706" t="s">
        <v>212</v>
      </c>
      <c r="F9" s="706" t="s">
        <v>30</v>
      </c>
      <c r="G9" s="706"/>
      <c r="H9" s="706"/>
      <c r="I9" s="704" t="s">
        <v>9</v>
      </c>
      <c r="J9" s="704" t="s">
        <v>14</v>
      </c>
      <c r="K9" s="704"/>
      <c r="L9" s="699"/>
      <c r="M9" s="704" t="s">
        <v>9</v>
      </c>
      <c r="N9" s="714" t="s">
        <v>14</v>
      </c>
      <c r="O9" s="715"/>
      <c r="P9" s="704"/>
    </row>
    <row r="10" spans="1:17" s="17" customFormat="1" ht="36" customHeight="1">
      <c r="A10" s="804"/>
      <c r="B10" s="704"/>
      <c r="C10" s="704"/>
      <c r="D10" s="704"/>
      <c r="E10" s="706"/>
      <c r="F10" s="706" t="s">
        <v>213</v>
      </c>
      <c r="G10" s="706" t="s">
        <v>14</v>
      </c>
      <c r="H10" s="706"/>
      <c r="I10" s="704"/>
      <c r="J10" s="704" t="s">
        <v>196</v>
      </c>
      <c r="K10" s="704" t="s">
        <v>197</v>
      </c>
      <c r="L10" s="699"/>
      <c r="M10" s="704"/>
      <c r="N10" s="704" t="s">
        <v>196</v>
      </c>
      <c r="O10" s="714" t="s">
        <v>197</v>
      </c>
      <c r="P10" s="704"/>
    </row>
    <row r="11" spans="1:17" s="17" customFormat="1" ht="40.5" customHeight="1">
      <c r="A11" s="804"/>
      <c r="B11" s="704"/>
      <c r="C11" s="704"/>
      <c r="D11" s="704"/>
      <c r="E11" s="706"/>
      <c r="F11" s="801"/>
      <c r="G11" s="191" t="s">
        <v>214</v>
      </c>
      <c r="H11" s="192" t="s">
        <v>215</v>
      </c>
      <c r="I11" s="704"/>
      <c r="J11" s="704"/>
      <c r="K11" s="704"/>
      <c r="L11" s="700"/>
      <c r="M11" s="704"/>
      <c r="N11" s="704"/>
      <c r="O11" s="714"/>
      <c r="P11" s="704"/>
    </row>
    <row r="12" spans="1:17" s="19" customFormat="1" ht="30.75" customHeight="1">
      <c r="A12" s="193">
        <v>1</v>
      </c>
      <c r="B12" s="18">
        <v>2</v>
      </c>
      <c r="C12" s="193">
        <v>3</v>
      </c>
      <c r="D12" s="18">
        <v>4</v>
      </c>
      <c r="E12" s="193">
        <v>5</v>
      </c>
      <c r="F12" s="18">
        <v>6</v>
      </c>
      <c r="G12" s="193">
        <v>7</v>
      </c>
      <c r="H12" s="18">
        <v>8</v>
      </c>
      <c r="I12" s="193">
        <v>9</v>
      </c>
      <c r="J12" s="18">
        <v>10</v>
      </c>
      <c r="K12" s="193">
        <v>11</v>
      </c>
      <c r="L12" s="18">
        <v>12</v>
      </c>
      <c r="M12" s="193">
        <v>13</v>
      </c>
      <c r="N12" s="18">
        <v>14</v>
      </c>
      <c r="O12" s="193">
        <v>15</v>
      </c>
      <c r="P12" s="18">
        <v>16</v>
      </c>
    </row>
    <row r="13" spans="1:17" s="19" customFormat="1" ht="39" customHeight="1">
      <c r="A13" s="193"/>
      <c r="B13" s="20" t="s">
        <v>13</v>
      </c>
      <c r="C13" s="193"/>
      <c r="D13" s="18"/>
      <c r="E13" s="193"/>
      <c r="F13" s="18"/>
      <c r="G13" s="18"/>
      <c r="H13" s="193"/>
      <c r="I13" s="193"/>
      <c r="J13" s="193"/>
      <c r="K13" s="193"/>
      <c r="L13" s="193"/>
      <c r="M13" s="193"/>
      <c r="N13" s="193"/>
      <c r="O13" s="193"/>
      <c r="P13" s="193"/>
    </row>
    <row r="14" spans="1:17" ht="39" customHeight="1">
      <c r="A14" s="21" t="s">
        <v>32</v>
      </c>
      <c r="B14" s="22" t="s">
        <v>216</v>
      </c>
      <c r="C14" s="33"/>
      <c r="D14" s="33"/>
      <c r="E14" s="33"/>
      <c r="F14" s="34"/>
      <c r="G14" s="34"/>
      <c r="H14" s="34"/>
      <c r="I14" s="34"/>
      <c r="J14" s="34"/>
      <c r="K14" s="34"/>
      <c r="L14" s="47"/>
      <c r="M14" s="47"/>
      <c r="N14" s="47"/>
      <c r="O14" s="47"/>
      <c r="P14" s="47"/>
    </row>
    <row r="15" spans="1:17" ht="39" customHeight="1">
      <c r="A15" s="21" t="s">
        <v>37</v>
      </c>
      <c r="B15" s="22" t="s">
        <v>169</v>
      </c>
      <c r="C15" s="33"/>
      <c r="D15" s="33"/>
      <c r="E15" s="33"/>
      <c r="F15" s="34"/>
      <c r="G15" s="34"/>
      <c r="H15" s="34"/>
      <c r="I15" s="34"/>
      <c r="J15" s="34"/>
      <c r="K15" s="34"/>
      <c r="L15" s="47"/>
      <c r="M15" s="47"/>
      <c r="N15" s="47"/>
      <c r="O15" s="47"/>
      <c r="P15" s="47"/>
    </row>
    <row r="16" spans="1:17" ht="30" customHeight="1">
      <c r="A16" s="29" t="s">
        <v>33</v>
      </c>
      <c r="B16" s="30" t="s">
        <v>38</v>
      </c>
      <c r="C16" s="33"/>
      <c r="D16" s="33"/>
      <c r="E16" s="33"/>
      <c r="F16" s="34"/>
      <c r="G16" s="34"/>
      <c r="H16" s="34"/>
      <c r="I16" s="34"/>
      <c r="J16" s="34"/>
      <c r="K16" s="34"/>
      <c r="L16" s="47"/>
      <c r="M16" s="47"/>
      <c r="N16" s="47"/>
      <c r="O16" s="47"/>
      <c r="P16" s="47"/>
    </row>
    <row r="17" spans="1:16" ht="30" customHeight="1">
      <c r="A17" s="29" t="s">
        <v>40</v>
      </c>
      <c r="B17" s="31" t="s">
        <v>41</v>
      </c>
      <c r="C17" s="33"/>
      <c r="D17" s="33"/>
      <c r="E17" s="33"/>
      <c r="F17" s="34"/>
      <c r="G17" s="34"/>
      <c r="H17" s="34"/>
      <c r="I17" s="34"/>
      <c r="J17" s="34"/>
      <c r="K17" s="34"/>
      <c r="L17" s="47"/>
      <c r="M17" s="47"/>
      <c r="N17" s="47"/>
      <c r="O17" s="47"/>
      <c r="P17" s="47"/>
    </row>
    <row r="18" spans="1:16" ht="39" customHeight="1">
      <c r="A18" s="21" t="s">
        <v>39</v>
      </c>
      <c r="B18" s="22" t="s">
        <v>170</v>
      </c>
      <c r="C18" s="33"/>
      <c r="D18" s="33"/>
      <c r="E18" s="33"/>
      <c r="F18" s="34"/>
      <c r="G18" s="34"/>
      <c r="H18" s="34"/>
      <c r="I18" s="34"/>
      <c r="J18" s="34"/>
      <c r="K18" s="34"/>
      <c r="L18" s="47"/>
      <c r="M18" s="47"/>
      <c r="N18" s="47"/>
      <c r="O18" s="47"/>
      <c r="P18" s="47"/>
    </row>
    <row r="19" spans="1:16" s="25" customFormat="1" ht="61.5" customHeight="1">
      <c r="A19" s="21" t="s">
        <v>198</v>
      </c>
      <c r="B19" s="26" t="s">
        <v>199</v>
      </c>
      <c r="C19" s="23"/>
      <c r="D19" s="23"/>
      <c r="E19" s="23"/>
      <c r="F19" s="24"/>
      <c r="G19" s="24"/>
      <c r="H19" s="24"/>
      <c r="I19" s="24"/>
      <c r="J19" s="24"/>
      <c r="K19" s="24"/>
      <c r="L19" s="194"/>
      <c r="M19" s="194"/>
      <c r="N19" s="194"/>
      <c r="O19" s="194"/>
      <c r="P19" s="194"/>
    </row>
    <row r="20" spans="1:16" ht="30" customHeight="1">
      <c r="A20" s="29" t="s">
        <v>33</v>
      </c>
      <c r="B20" s="30" t="s">
        <v>38</v>
      </c>
      <c r="C20" s="33"/>
      <c r="D20" s="33"/>
      <c r="E20" s="33"/>
      <c r="F20" s="34"/>
      <c r="G20" s="34"/>
      <c r="H20" s="34"/>
      <c r="I20" s="34"/>
      <c r="J20" s="34"/>
      <c r="K20" s="34"/>
      <c r="L20" s="47"/>
      <c r="M20" s="47"/>
      <c r="N20" s="47"/>
      <c r="O20" s="47"/>
      <c r="P20" s="47"/>
    </row>
    <row r="21" spans="1:16" ht="30" customHeight="1">
      <c r="A21" s="29" t="s">
        <v>40</v>
      </c>
      <c r="B21" s="31" t="s">
        <v>41</v>
      </c>
      <c r="C21" s="33"/>
      <c r="D21" s="33"/>
      <c r="E21" s="33"/>
      <c r="F21" s="34"/>
      <c r="G21" s="34"/>
      <c r="H21" s="34"/>
      <c r="I21" s="34"/>
      <c r="J21" s="34"/>
      <c r="K21" s="34"/>
      <c r="L21" s="47"/>
      <c r="M21" s="47"/>
      <c r="N21" s="47"/>
      <c r="O21" s="47"/>
      <c r="P21" s="47"/>
    </row>
    <row r="22" spans="1:16" s="25" customFormat="1" ht="57" customHeight="1">
      <c r="A22" s="21" t="s">
        <v>200</v>
      </c>
      <c r="B22" s="26" t="s">
        <v>201</v>
      </c>
      <c r="C22" s="23"/>
      <c r="D22" s="23"/>
      <c r="E22" s="23"/>
      <c r="F22" s="24"/>
      <c r="G22" s="24"/>
      <c r="H22" s="24"/>
      <c r="I22" s="24"/>
      <c r="J22" s="24"/>
      <c r="K22" s="24"/>
      <c r="L22" s="194"/>
      <c r="M22" s="194"/>
      <c r="N22" s="194"/>
      <c r="O22" s="194"/>
      <c r="P22" s="194"/>
    </row>
    <row r="23" spans="1:16" ht="30" customHeight="1">
      <c r="A23" s="29" t="s">
        <v>33</v>
      </c>
      <c r="B23" s="30" t="s">
        <v>38</v>
      </c>
      <c r="C23" s="33"/>
      <c r="D23" s="33"/>
      <c r="E23" s="33"/>
      <c r="F23" s="34"/>
      <c r="G23" s="34"/>
      <c r="H23" s="34"/>
      <c r="I23" s="34"/>
      <c r="J23" s="34"/>
      <c r="K23" s="34"/>
      <c r="L23" s="47"/>
      <c r="M23" s="47"/>
      <c r="N23" s="47"/>
      <c r="O23" s="47"/>
      <c r="P23" s="47"/>
    </row>
    <row r="24" spans="1:16" ht="30" customHeight="1">
      <c r="A24" s="29" t="s">
        <v>40</v>
      </c>
      <c r="B24" s="31" t="s">
        <v>41</v>
      </c>
      <c r="C24" s="33"/>
      <c r="D24" s="33"/>
      <c r="E24" s="33"/>
      <c r="F24" s="34"/>
      <c r="G24" s="34"/>
      <c r="H24" s="34"/>
      <c r="I24" s="34"/>
      <c r="J24" s="34"/>
      <c r="K24" s="34"/>
      <c r="L24" s="47"/>
      <c r="M24" s="47"/>
      <c r="N24" s="47"/>
      <c r="O24" s="47"/>
      <c r="P24" s="47"/>
    </row>
    <row r="25" spans="1:16" ht="45.75" customHeight="1">
      <c r="A25" s="21" t="s">
        <v>202</v>
      </c>
      <c r="B25" s="26" t="s">
        <v>217</v>
      </c>
      <c r="C25" s="33"/>
      <c r="D25" s="33"/>
      <c r="E25" s="33"/>
      <c r="F25" s="34"/>
      <c r="G25" s="34"/>
      <c r="H25" s="34"/>
      <c r="I25" s="34"/>
      <c r="J25" s="34"/>
      <c r="K25" s="34"/>
      <c r="L25" s="47"/>
      <c r="M25" s="47"/>
      <c r="N25" s="47"/>
      <c r="O25" s="47"/>
      <c r="P25" s="47"/>
    </row>
    <row r="26" spans="1:16" ht="33.75" customHeight="1">
      <c r="A26" s="29" t="s">
        <v>33</v>
      </c>
      <c r="B26" s="30" t="s">
        <v>38</v>
      </c>
      <c r="C26" s="33"/>
      <c r="D26" s="33"/>
      <c r="E26" s="33"/>
      <c r="F26" s="34"/>
      <c r="G26" s="34"/>
      <c r="H26" s="34"/>
      <c r="I26" s="34"/>
      <c r="J26" s="34"/>
      <c r="K26" s="34"/>
      <c r="L26" s="47"/>
      <c r="M26" s="47"/>
      <c r="N26" s="47"/>
      <c r="O26" s="47"/>
      <c r="P26" s="47"/>
    </row>
    <row r="27" spans="1:16" ht="34.5" customHeight="1">
      <c r="A27" s="29"/>
      <c r="B27" s="31" t="s">
        <v>218</v>
      </c>
      <c r="C27" s="33"/>
      <c r="D27" s="33"/>
      <c r="E27" s="33"/>
      <c r="F27" s="34"/>
      <c r="G27" s="34"/>
      <c r="H27" s="34"/>
      <c r="I27" s="34"/>
      <c r="J27" s="34"/>
      <c r="K27" s="34"/>
      <c r="L27" s="47"/>
      <c r="M27" s="47"/>
      <c r="N27" s="47"/>
      <c r="O27" s="47"/>
      <c r="P27" s="47"/>
    </row>
    <row r="28" spans="1:16" s="25" customFormat="1" ht="53.25" customHeight="1">
      <c r="A28" s="21" t="s">
        <v>203</v>
      </c>
      <c r="B28" s="26" t="s">
        <v>204</v>
      </c>
      <c r="C28" s="23"/>
      <c r="D28" s="23"/>
      <c r="E28" s="23"/>
      <c r="F28" s="24"/>
      <c r="G28" s="24"/>
      <c r="H28" s="24"/>
      <c r="I28" s="24"/>
      <c r="J28" s="24"/>
      <c r="K28" s="24"/>
      <c r="L28" s="194"/>
      <c r="M28" s="194"/>
      <c r="N28" s="194"/>
      <c r="O28" s="194"/>
      <c r="P28" s="194"/>
    </row>
    <row r="29" spans="1:16" ht="37.5" customHeight="1">
      <c r="A29" s="29" t="s">
        <v>33</v>
      </c>
      <c r="B29" s="30" t="s">
        <v>38</v>
      </c>
      <c r="C29" s="33"/>
      <c r="D29" s="33"/>
      <c r="E29" s="33"/>
      <c r="F29" s="34"/>
      <c r="G29" s="34"/>
      <c r="H29" s="34"/>
      <c r="I29" s="34"/>
      <c r="J29" s="34"/>
      <c r="K29" s="34"/>
      <c r="L29" s="47"/>
      <c r="M29" s="47"/>
      <c r="N29" s="47"/>
      <c r="O29" s="47"/>
      <c r="P29" s="47"/>
    </row>
    <row r="30" spans="1:16" ht="39" customHeight="1">
      <c r="A30" s="29"/>
      <c r="B30" s="30" t="s">
        <v>219</v>
      </c>
      <c r="C30" s="33"/>
      <c r="D30" s="33"/>
      <c r="E30" s="33"/>
      <c r="F30" s="34"/>
      <c r="G30" s="34"/>
      <c r="H30" s="34"/>
      <c r="I30" s="34"/>
      <c r="J30" s="34"/>
      <c r="K30" s="34"/>
      <c r="L30" s="47"/>
      <c r="M30" s="47"/>
      <c r="N30" s="47"/>
      <c r="O30" s="47"/>
      <c r="P30" s="47"/>
    </row>
    <row r="31" spans="1:16" s="25" customFormat="1" ht="63" customHeight="1">
      <c r="A31" s="21" t="s">
        <v>205</v>
      </c>
      <c r="B31" s="26" t="s">
        <v>206</v>
      </c>
      <c r="C31" s="23"/>
      <c r="D31" s="23"/>
      <c r="E31" s="23"/>
      <c r="F31" s="24"/>
      <c r="G31" s="24"/>
      <c r="H31" s="24"/>
      <c r="I31" s="24"/>
      <c r="J31" s="24"/>
      <c r="K31" s="24"/>
      <c r="L31" s="194"/>
      <c r="M31" s="194"/>
      <c r="N31" s="194"/>
      <c r="O31" s="194"/>
      <c r="P31" s="194"/>
    </row>
    <row r="32" spans="1:16" ht="37.5" customHeight="1">
      <c r="A32" s="29" t="s">
        <v>33</v>
      </c>
      <c r="B32" s="30" t="s">
        <v>38</v>
      </c>
      <c r="C32" s="33"/>
      <c r="D32" s="33"/>
      <c r="E32" s="33"/>
      <c r="F32" s="34"/>
      <c r="G32" s="34"/>
      <c r="H32" s="34"/>
      <c r="I32" s="34"/>
      <c r="J32" s="34"/>
      <c r="K32" s="34"/>
      <c r="L32" s="47"/>
      <c r="M32" s="47"/>
      <c r="N32" s="47"/>
      <c r="O32" s="47"/>
      <c r="P32" s="47"/>
    </row>
    <row r="33" spans="1:16" ht="39" customHeight="1">
      <c r="A33" s="29"/>
      <c r="B33" s="30" t="s">
        <v>219</v>
      </c>
      <c r="C33" s="33"/>
      <c r="D33" s="33"/>
      <c r="E33" s="33"/>
      <c r="F33" s="34"/>
      <c r="G33" s="34"/>
      <c r="H33" s="34"/>
      <c r="I33" s="34"/>
      <c r="J33" s="34"/>
      <c r="K33" s="34"/>
      <c r="L33" s="47"/>
      <c r="M33" s="47"/>
      <c r="N33" s="47"/>
      <c r="O33" s="47"/>
      <c r="P33" s="47"/>
    </row>
    <row r="34" spans="1:16" ht="50.25" customHeight="1">
      <c r="A34" s="21" t="s">
        <v>48</v>
      </c>
      <c r="B34" s="22" t="s">
        <v>220</v>
      </c>
      <c r="C34" s="33"/>
      <c r="D34" s="33"/>
      <c r="E34" s="33"/>
      <c r="F34" s="34"/>
      <c r="G34" s="34"/>
      <c r="H34" s="34"/>
      <c r="I34" s="34"/>
      <c r="J34" s="34"/>
      <c r="K34" s="34"/>
      <c r="L34" s="47"/>
      <c r="M34" s="47"/>
      <c r="N34" s="47"/>
      <c r="O34" s="47"/>
      <c r="P34" s="47"/>
    </row>
    <row r="35" spans="1:16" ht="45.75" customHeight="1">
      <c r="A35" s="29"/>
      <c r="B35" s="26" t="s">
        <v>221</v>
      </c>
      <c r="C35" s="33"/>
      <c r="D35" s="33"/>
      <c r="E35" s="33"/>
      <c r="F35" s="34"/>
      <c r="G35" s="34"/>
      <c r="H35" s="34"/>
      <c r="I35" s="34"/>
      <c r="J35" s="34"/>
      <c r="K35" s="34"/>
      <c r="L35" s="47"/>
      <c r="M35" s="47"/>
      <c r="N35" s="47"/>
      <c r="O35" s="47"/>
      <c r="P35" s="47"/>
    </row>
    <row r="36" spans="1:16" ht="30" customHeight="1">
      <c r="A36" s="130"/>
      <c r="B36" s="172"/>
      <c r="C36" s="37"/>
      <c r="D36" s="37"/>
      <c r="E36" s="37"/>
      <c r="F36" s="38"/>
      <c r="G36" s="38"/>
      <c r="H36" s="38"/>
      <c r="I36" s="38"/>
      <c r="J36" s="38"/>
      <c r="K36" s="38"/>
    </row>
    <row r="37" spans="1:16" ht="30" customHeight="1">
      <c r="A37" s="130"/>
      <c r="B37" s="172" t="s">
        <v>19</v>
      </c>
      <c r="C37" s="37"/>
      <c r="D37" s="37"/>
      <c r="E37" s="37"/>
      <c r="F37" s="38"/>
      <c r="G37" s="38"/>
      <c r="H37" s="38"/>
      <c r="I37" s="38"/>
      <c r="J37" s="38"/>
      <c r="K37" s="38"/>
    </row>
    <row r="38" spans="1:16" ht="30" customHeight="1">
      <c r="A38" s="130"/>
      <c r="B38" s="173" t="s">
        <v>20</v>
      </c>
      <c r="C38" s="37"/>
      <c r="D38" s="37"/>
      <c r="E38" s="37"/>
      <c r="F38" s="38"/>
      <c r="G38" s="38"/>
      <c r="H38" s="38"/>
      <c r="I38" s="38"/>
      <c r="J38" s="38"/>
      <c r="K38" s="38"/>
    </row>
    <row r="39" spans="1:16" ht="30" customHeight="1">
      <c r="A39" s="130"/>
      <c r="B39" s="36"/>
      <c r="C39" s="37"/>
      <c r="D39" s="37"/>
      <c r="E39" s="37"/>
      <c r="F39" s="38"/>
      <c r="G39" s="38"/>
      <c r="H39" s="38"/>
      <c r="I39" s="38"/>
      <c r="J39" s="38"/>
      <c r="K39" s="38"/>
    </row>
    <row r="40" spans="1:16" ht="30" customHeight="1">
      <c r="A40" s="130"/>
      <c r="B40" s="36"/>
      <c r="C40" s="37"/>
      <c r="D40" s="37"/>
      <c r="E40" s="37"/>
      <c r="F40" s="38"/>
      <c r="G40" s="38"/>
      <c r="H40" s="38"/>
      <c r="I40" s="38"/>
      <c r="J40" s="38"/>
      <c r="K40" s="38"/>
    </row>
    <row r="41" spans="1:16" ht="30" customHeight="1">
      <c r="A41" s="130"/>
      <c r="B41" s="36"/>
      <c r="C41" s="37"/>
      <c r="D41" s="37"/>
      <c r="E41" s="37"/>
      <c r="F41" s="38"/>
      <c r="G41" s="38"/>
      <c r="H41" s="38"/>
      <c r="I41" s="38"/>
      <c r="J41" s="38"/>
      <c r="K41" s="38"/>
    </row>
    <row r="42" spans="1:16" ht="30" customHeight="1">
      <c r="A42" s="130"/>
      <c r="B42" s="36"/>
      <c r="C42" s="37"/>
      <c r="D42" s="37"/>
      <c r="E42" s="37"/>
      <c r="F42" s="38"/>
      <c r="G42" s="38"/>
      <c r="H42" s="38"/>
      <c r="I42" s="38"/>
      <c r="J42" s="38"/>
      <c r="K42" s="38"/>
    </row>
    <row r="43" spans="1:16" ht="30" customHeight="1">
      <c r="A43" s="130"/>
      <c r="B43" s="36"/>
      <c r="C43" s="37"/>
      <c r="D43" s="37"/>
      <c r="E43" s="37"/>
      <c r="F43" s="38"/>
      <c r="G43" s="38"/>
      <c r="H43" s="38"/>
      <c r="I43" s="38"/>
      <c r="J43" s="38"/>
      <c r="K43" s="38"/>
    </row>
    <row r="44" spans="1:16" ht="30" customHeight="1">
      <c r="A44" s="130"/>
      <c r="B44" s="36"/>
      <c r="C44" s="37"/>
      <c r="D44" s="37"/>
      <c r="E44" s="37"/>
      <c r="F44" s="38"/>
      <c r="G44" s="38"/>
      <c r="H44" s="38"/>
      <c r="I44" s="38"/>
      <c r="J44" s="38"/>
      <c r="K44" s="38"/>
    </row>
    <row r="45" spans="1:16" ht="30" customHeight="1">
      <c r="A45" s="130"/>
      <c r="B45" s="36"/>
      <c r="C45" s="37"/>
      <c r="D45" s="37"/>
      <c r="E45" s="37"/>
      <c r="F45" s="38"/>
      <c r="G45" s="38"/>
      <c r="H45" s="38"/>
      <c r="I45" s="38"/>
      <c r="J45" s="38"/>
      <c r="K45" s="38"/>
    </row>
    <row r="46" spans="1:16" ht="30" customHeight="1">
      <c r="B46" s="781"/>
      <c r="C46" s="781"/>
      <c r="D46" s="781"/>
      <c r="E46" s="781"/>
      <c r="F46" s="781"/>
      <c r="G46" s="781"/>
      <c r="H46" s="781"/>
      <c r="I46" s="137"/>
      <c r="J46" s="137"/>
      <c r="K46" s="137"/>
    </row>
    <row r="47" spans="1:16" ht="19.899999999999999" customHeight="1"/>
    <row r="48" spans="1:16" s="25" customFormat="1" ht="25.5" customHeight="1">
      <c r="A48" s="195"/>
      <c r="B48" s="60" t="s">
        <v>222</v>
      </c>
      <c r="C48" s="195"/>
      <c r="D48" s="195"/>
      <c r="E48" s="195"/>
      <c r="F48" s="59"/>
      <c r="G48" s="59"/>
      <c r="H48" s="59"/>
    </row>
    <row r="49" spans="1:8" s="133" customFormat="1" ht="25.5" customHeight="1">
      <c r="A49" s="130"/>
      <c r="B49" s="196" t="s">
        <v>223</v>
      </c>
      <c r="C49" s="130"/>
      <c r="D49" s="130"/>
      <c r="E49" s="130"/>
      <c r="F49" s="197"/>
      <c r="G49" s="197"/>
      <c r="H49" s="197"/>
    </row>
    <row r="50" spans="1:8" s="133" customFormat="1" ht="25.5" customHeight="1">
      <c r="A50" s="130"/>
      <c r="B50" s="135" t="s">
        <v>224</v>
      </c>
      <c r="C50" s="130"/>
      <c r="D50" s="130"/>
      <c r="E50" s="130"/>
      <c r="F50" s="197"/>
      <c r="G50" s="197"/>
      <c r="H50" s="197"/>
    </row>
    <row r="51" spans="1:8" s="133" customFormat="1" ht="25.5" customHeight="1">
      <c r="A51" s="130"/>
      <c r="B51" s="135" t="s">
        <v>225</v>
      </c>
      <c r="C51" s="130"/>
      <c r="D51" s="130"/>
      <c r="E51" s="130"/>
      <c r="F51" s="197"/>
      <c r="G51" s="197"/>
      <c r="H51" s="197"/>
    </row>
    <row r="52" spans="1:8" s="133" customFormat="1" ht="25.5" customHeight="1">
      <c r="A52" s="130"/>
      <c r="B52" s="135" t="s">
        <v>226</v>
      </c>
      <c r="C52" s="130"/>
      <c r="D52" s="130"/>
      <c r="E52" s="130"/>
      <c r="F52" s="197"/>
      <c r="G52" s="197"/>
      <c r="H52" s="197"/>
    </row>
    <row r="53" spans="1:8" s="133" customFormat="1" ht="25.5" customHeight="1">
      <c r="A53" s="130"/>
      <c r="B53" s="135" t="s">
        <v>227</v>
      </c>
      <c r="C53" s="130"/>
      <c r="D53" s="130"/>
      <c r="E53" s="130"/>
      <c r="F53" s="197"/>
      <c r="G53" s="197"/>
      <c r="H53" s="197"/>
    </row>
    <row r="54" spans="1:8" s="133" customFormat="1" ht="25.5" customHeight="1">
      <c r="A54" s="136"/>
      <c r="B54" s="133" t="s">
        <v>228</v>
      </c>
    </row>
    <row r="55" spans="1:8" s="133" customFormat="1" ht="25.5" customHeight="1">
      <c r="A55" s="136"/>
      <c r="B55" s="133" t="s">
        <v>229</v>
      </c>
      <c r="C55" s="136"/>
      <c r="D55" s="136"/>
      <c r="E55" s="136"/>
      <c r="F55" s="198"/>
      <c r="G55" s="198"/>
      <c r="H55" s="198"/>
    </row>
    <row r="56" spans="1:8" s="133" customFormat="1" ht="25.5" customHeight="1">
      <c r="A56" s="136"/>
      <c r="B56" s="133" t="s">
        <v>230</v>
      </c>
      <c r="C56" s="136"/>
      <c r="D56" s="136"/>
      <c r="E56" s="136"/>
      <c r="F56" s="198"/>
      <c r="G56" s="198"/>
      <c r="H56" s="198"/>
    </row>
    <row r="57" spans="1:8" s="133" customFormat="1" ht="25.5" customHeight="1">
      <c r="A57" s="136"/>
      <c r="B57" s="133" t="s">
        <v>231</v>
      </c>
      <c r="C57" s="136"/>
      <c r="D57" s="136"/>
      <c r="E57" s="136"/>
      <c r="F57" s="198"/>
      <c r="G57" s="198"/>
      <c r="H57" s="198"/>
    </row>
    <row r="58" spans="1:8" s="133" customFormat="1" ht="25.5" customHeight="1">
      <c r="A58" s="136"/>
      <c r="B58" s="133" t="s">
        <v>232</v>
      </c>
      <c r="C58" s="136"/>
      <c r="D58" s="136"/>
      <c r="E58" s="136"/>
      <c r="F58" s="198"/>
      <c r="G58" s="198"/>
      <c r="H58" s="198"/>
    </row>
    <row r="59" spans="1:8" s="133" customFormat="1" ht="25.5" customHeight="1">
      <c r="A59" s="136"/>
      <c r="B59" s="133" t="s">
        <v>233</v>
      </c>
      <c r="C59" s="136"/>
      <c r="D59" s="136"/>
      <c r="E59" s="136"/>
      <c r="F59" s="198"/>
      <c r="G59" s="198"/>
      <c r="H59" s="198"/>
    </row>
    <row r="60" spans="1:8" s="133" customFormat="1" ht="25.5" customHeight="1">
      <c r="A60" s="136"/>
      <c r="B60" s="133" t="s">
        <v>234</v>
      </c>
      <c r="C60" s="136"/>
      <c r="D60" s="136"/>
      <c r="E60" s="136"/>
      <c r="F60" s="198"/>
      <c r="G60" s="198"/>
      <c r="H60" s="198"/>
    </row>
    <row r="61" spans="1:8" s="133" customFormat="1" ht="25.5" customHeight="1">
      <c r="B61" s="133" t="s">
        <v>235</v>
      </c>
    </row>
    <row r="62" spans="1:8" s="133" customFormat="1" ht="25.5" customHeight="1">
      <c r="B62" s="133" t="s">
        <v>236</v>
      </c>
    </row>
    <row r="63" spans="1:8" s="133" customFormat="1" ht="25.5" customHeight="1">
      <c r="B63" s="133" t="s">
        <v>237</v>
      </c>
    </row>
    <row r="64" spans="1:8" s="133" customFormat="1" ht="25.5" customHeight="1">
      <c r="B64" s="133" t="s">
        <v>238</v>
      </c>
    </row>
    <row r="65" spans="1:8" s="133" customFormat="1" ht="25.5" customHeight="1">
      <c r="B65" s="133" t="s">
        <v>239</v>
      </c>
    </row>
    <row r="66" spans="1:8" s="133" customFormat="1" ht="25.5" customHeight="1">
      <c r="B66" s="133" t="s">
        <v>240</v>
      </c>
    </row>
    <row r="67" spans="1:8" s="133" customFormat="1" ht="25.5" customHeight="1">
      <c r="B67" s="133" t="s">
        <v>241</v>
      </c>
    </row>
    <row r="68" spans="1:8" s="133" customFormat="1" ht="25.5" customHeight="1">
      <c r="B68" s="133" t="s">
        <v>242</v>
      </c>
    </row>
    <row r="69" spans="1:8" s="133" customFormat="1" ht="25.5" customHeight="1">
      <c r="B69" s="133" t="s">
        <v>243</v>
      </c>
    </row>
    <row r="70" spans="1:8" s="133" customFormat="1" ht="25.5" customHeight="1">
      <c r="B70" s="133" t="s">
        <v>244</v>
      </c>
    </row>
    <row r="71" spans="1:8" s="133" customFormat="1" ht="25.5" customHeight="1">
      <c r="B71" s="133" t="s">
        <v>245</v>
      </c>
    </row>
    <row r="72" spans="1:8" s="133" customFormat="1" ht="25.5" customHeight="1">
      <c r="A72" s="136"/>
      <c r="B72" s="133" t="s">
        <v>246</v>
      </c>
      <c r="C72" s="136"/>
      <c r="D72" s="136"/>
      <c r="E72" s="136"/>
      <c r="F72" s="198"/>
      <c r="G72" s="198"/>
      <c r="H72" s="198"/>
    </row>
    <row r="73" spans="1:8" s="133" customFormat="1" ht="25.5" customHeight="1">
      <c r="B73" s="133" t="s">
        <v>247</v>
      </c>
    </row>
    <row r="74" spans="1:8" s="133" customFormat="1" ht="25.5" customHeight="1">
      <c r="B74" s="133" t="s">
        <v>248</v>
      </c>
    </row>
    <row r="75" spans="1:8" s="133" customFormat="1" ht="25.5" customHeight="1">
      <c r="B75" s="133" t="s">
        <v>249</v>
      </c>
    </row>
    <row r="76" spans="1:8" s="133" customFormat="1" ht="25.5" customHeight="1">
      <c r="B76" s="133" t="s">
        <v>250</v>
      </c>
    </row>
    <row r="77" spans="1:8" s="133" customFormat="1" ht="25.5" customHeight="1">
      <c r="B77" s="133" t="s">
        <v>251</v>
      </c>
    </row>
    <row r="78" spans="1:8" s="133" customFormat="1" ht="25.5" customHeight="1">
      <c r="B78" s="133" t="s">
        <v>252</v>
      </c>
    </row>
    <row r="79" spans="1:8" s="133" customFormat="1" ht="25.5" customHeight="1">
      <c r="B79" s="133" t="s">
        <v>253</v>
      </c>
    </row>
    <row r="80" spans="1:8" s="133" customFormat="1" ht="25.5" customHeight="1">
      <c r="B80" s="133" t="s">
        <v>254</v>
      </c>
    </row>
    <row r="81" spans="2:2" s="133" customFormat="1" ht="25.5" customHeight="1">
      <c r="B81" s="133" t="s">
        <v>255</v>
      </c>
    </row>
    <row r="82" spans="2:2" s="133" customFormat="1" ht="25.5" customHeight="1">
      <c r="B82" s="133" t="s">
        <v>256</v>
      </c>
    </row>
    <row r="83" spans="2:2" s="133" customFormat="1" ht="25.5" customHeight="1">
      <c r="B83" s="133" t="s">
        <v>257</v>
      </c>
    </row>
    <row r="84" spans="2:2" s="133" customFormat="1" ht="25.5" customHeight="1"/>
    <row r="85" spans="2:2" s="133" customFormat="1" ht="25.5" customHeight="1"/>
    <row r="86" spans="2:2" s="133" customFormat="1" ht="25.5" customHeight="1">
      <c r="B86" s="133" t="s">
        <v>258</v>
      </c>
    </row>
    <row r="87" spans="2:2" s="133" customFormat="1" ht="25.5" customHeight="1">
      <c r="B87" s="133" t="s">
        <v>259</v>
      </c>
    </row>
    <row r="88" spans="2:2" s="133" customFormat="1" ht="25.5" customHeight="1">
      <c r="B88" s="133" t="s">
        <v>260</v>
      </c>
    </row>
    <row r="89" spans="2:2" s="133" customFormat="1" ht="25.5" customHeight="1">
      <c r="B89" s="133" t="s">
        <v>261</v>
      </c>
    </row>
    <row r="90" spans="2:2" s="133" customFormat="1" ht="25.5" customHeight="1">
      <c r="B90" s="133" t="s">
        <v>262</v>
      </c>
    </row>
    <row r="91" spans="2:2" s="133" customFormat="1" ht="25.5" customHeight="1">
      <c r="B91" s="133" t="s">
        <v>263</v>
      </c>
    </row>
    <row r="92" spans="2:2" s="133" customFormat="1" ht="25.5" customHeight="1">
      <c r="B92" s="133" t="s">
        <v>264</v>
      </c>
    </row>
    <row r="93" spans="2:2" s="133" customFormat="1" ht="25.5" customHeight="1">
      <c r="B93" s="133" t="s">
        <v>265</v>
      </c>
    </row>
    <row r="94" spans="2:2" s="133" customFormat="1" ht="25.5" customHeight="1">
      <c r="B94" s="133" t="s">
        <v>266</v>
      </c>
    </row>
    <row r="95" spans="2:2" s="133" customFormat="1" ht="25.5" customHeight="1">
      <c r="B95" s="133" t="s">
        <v>267</v>
      </c>
    </row>
    <row r="96" spans="2:2" s="133" customFormat="1" ht="25.5" customHeight="1">
      <c r="B96" s="133" t="s">
        <v>268</v>
      </c>
    </row>
    <row r="97" spans="1:11" ht="19.899999999999999" customHeight="1"/>
    <row r="98" spans="1:11" ht="19.899999999999999" customHeight="1"/>
    <row r="99" spans="1:11" ht="19.899999999999999" customHeight="1"/>
    <row r="100" spans="1:11" ht="19.899999999999999" customHeight="1">
      <c r="A100" s="133"/>
      <c r="B100" s="13"/>
      <c r="C100" s="13"/>
      <c r="D100" s="13"/>
      <c r="E100" s="13"/>
      <c r="F100" s="13"/>
      <c r="G100" s="13"/>
      <c r="H100" s="13"/>
      <c r="I100" s="13"/>
      <c r="J100" s="13"/>
      <c r="K100" s="13"/>
    </row>
    <row r="101" spans="1:11" ht="19.899999999999999" customHeight="1">
      <c r="A101" s="133"/>
      <c r="B101" s="13"/>
      <c r="C101" s="13"/>
      <c r="D101" s="13"/>
      <c r="E101" s="13"/>
      <c r="F101" s="13"/>
      <c r="G101" s="13"/>
      <c r="H101" s="13"/>
      <c r="I101" s="13"/>
      <c r="J101" s="13"/>
      <c r="K101" s="13"/>
    </row>
    <row r="102" spans="1:11" ht="19.899999999999999" customHeight="1">
      <c r="A102" s="133"/>
      <c r="B102" s="13"/>
      <c r="C102" s="13"/>
      <c r="D102" s="13"/>
      <c r="E102" s="13"/>
      <c r="F102" s="13"/>
      <c r="G102" s="13"/>
      <c r="H102" s="13"/>
      <c r="I102" s="13"/>
      <c r="J102" s="13"/>
      <c r="K102" s="13"/>
    </row>
    <row r="103" spans="1:11" ht="19.899999999999999" customHeight="1">
      <c r="A103" s="133"/>
      <c r="B103" s="13"/>
      <c r="C103" s="13"/>
      <c r="D103" s="13"/>
      <c r="E103" s="13"/>
      <c r="F103" s="13"/>
      <c r="G103" s="13"/>
      <c r="H103" s="13"/>
      <c r="I103" s="13"/>
      <c r="J103" s="13"/>
      <c r="K103" s="13"/>
    </row>
    <row r="104" spans="1:11" ht="19.899999999999999" customHeight="1">
      <c r="A104" s="133"/>
      <c r="B104" s="13"/>
      <c r="C104" s="13"/>
      <c r="D104" s="13"/>
      <c r="E104" s="13"/>
      <c r="F104" s="13"/>
      <c r="G104" s="13"/>
      <c r="H104" s="13"/>
      <c r="I104" s="13"/>
      <c r="J104" s="13"/>
      <c r="K104" s="13"/>
    </row>
    <row r="105" spans="1:11" ht="19.899999999999999" customHeight="1">
      <c r="A105" s="133"/>
      <c r="B105" s="13"/>
      <c r="C105" s="13"/>
      <c r="D105" s="13"/>
      <c r="E105" s="13"/>
      <c r="F105" s="13"/>
      <c r="G105" s="13"/>
      <c r="H105" s="13"/>
      <c r="I105" s="13"/>
      <c r="J105" s="13"/>
      <c r="K105" s="13"/>
    </row>
    <row r="106" spans="1:11" ht="19.899999999999999" customHeight="1">
      <c r="A106" s="133"/>
      <c r="B106" s="13"/>
      <c r="C106" s="13"/>
      <c r="D106" s="13"/>
      <c r="E106" s="13"/>
      <c r="F106" s="13"/>
      <c r="G106" s="13"/>
      <c r="H106" s="13"/>
      <c r="I106" s="13"/>
      <c r="J106" s="13"/>
      <c r="K106" s="13"/>
    </row>
    <row r="107" spans="1:11" ht="19.899999999999999" customHeight="1">
      <c r="A107" s="133"/>
      <c r="B107" s="13"/>
      <c r="C107" s="13"/>
      <c r="D107" s="13"/>
      <c r="E107" s="13"/>
      <c r="F107" s="13"/>
      <c r="G107" s="13"/>
      <c r="H107" s="13"/>
      <c r="I107" s="13"/>
      <c r="J107" s="13"/>
      <c r="K107" s="13"/>
    </row>
    <row r="108" spans="1:11" ht="19.899999999999999" customHeight="1">
      <c r="A108" s="133"/>
      <c r="B108" s="13"/>
      <c r="C108" s="13"/>
      <c r="D108" s="13"/>
      <c r="E108" s="13"/>
      <c r="F108" s="13"/>
      <c r="G108" s="13"/>
      <c r="H108" s="13"/>
      <c r="I108" s="13"/>
      <c r="J108" s="13"/>
      <c r="K108" s="13"/>
    </row>
    <row r="109" spans="1:11" ht="19.899999999999999" customHeight="1">
      <c r="A109" s="133"/>
      <c r="B109" s="13"/>
      <c r="C109" s="13"/>
      <c r="D109" s="13"/>
      <c r="E109" s="13"/>
      <c r="F109" s="13"/>
      <c r="G109" s="13"/>
      <c r="H109" s="13"/>
      <c r="I109" s="13"/>
      <c r="J109" s="13"/>
      <c r="K109" s="13"/>
    </row>
    <row r="110" spans="1:11">
      <c r="A110" s="133"/>
      <c r="B110" s="13"/>
      <c r="C110" s="13"/>
      <c r="D110" s="13"/>
      <c r="E110" s="13"/>
      <c r="F110" s="13"/>
      <c r="G110" s="13"/>
      <c r="H110" s="13"/>
      <c r="I110" s="13"/>
      <c r="J110" s="13"/>
      <c r="K110" s="13"/>
    </row>
    <row r="111" spans="1:11">
      <c r="A111" s="133"/>
      <c r="B111" s="13"/>
      <c r="C111" s="13"/>
      <c r="D111" s="13"/>
      <c r="E111" s="13"/>
      <c r="F111" s="13"/>
      <c r="G111" s="13"/>
      <c r="H111" s="13"/>
      <c r="I111" s="13"/>
      <c r="J111" s="13"/>
      <c r="K111" s="13"/>
    </row>
    <row r="112" spans="1:11">
      <c r="A112" s="133"/>
      <c r="B112" s="13"/>
      <c r="C112" s="13"/>
      <c r="D112" s="13"/>
      <c r="E112" s="13"/>
      <c r="F112" s="13"/>
      <c r="G112" s="13"/>
      <c r="H112" s="13"/>
      <c r="I112" s="13"/>
      <c r="J112" s="13"/>
      <c r="K112" s="13"/>
    </row>
    <row r="113" spans="1:11">
      <c r="A113" s="133"/>
      <c r="B113" s="13"/>
      <c r="C113" s="13"/>
      <c r="D113" s="13"/>
      <c r="E113" s="13"/>
      <c r="F113" s="13"/>
      <c r="G113" s="13"/>
      <c r="H113" s="13"/>
      <c r="I113" s="13"/>
      <c r="J113" s="13"/>
      <c r="K113" s="13"/>
    </row>
    <row r="114" spans="1:11">
      <c r="A114" s="133"/>
      <c r="B114" s="13"/>
      <c r="C114" s="13"/>
      <c r="D114" s="13"/>
      <c r="E114" s="13"/>
      <c r="F114" s="13"/>
      <c r="G114" s="13"/>
      <c r="H114" s="13"/>
      <c r="I114" s="13"/>
      <c r="J114" s="13"/>
      <c r="K114" s="13"/>
    </row>
    <row r="115" spans="1:11">
      <c r="A115" s="133"/>
      <c r="B115" s="13"/>
      <c r="C115" s="13"/>
      <c r="D115" s="13"/>
      <c r="E115" s="13"/>
      <c r="F115" s="13"/>
      <c r="G115" s="13"/>
      <c r="H115" s="13"/>
      <c r="I115" s="13"/>
      <c r="J115" s="13"/>
      <c r="K115" s="13"/>
    </row>
    <row r="116" spans="1:11">
      <c r="A116" s="133"/>
      <c r="B116" s="13"/>
      <c r="C116" s="13"/>
      <c r="D116" s="13"/>
      <c r="E116" s="13"/>
      <c r="F116" s="13"/>
      <c r="G116" s="13"/>
      <c r="H116" s="13"/>
      <c r="I116" s="13"/>
      <c r="J116" s="13"/>
      <c r="K116" s="13"/>
    </row>
    <row r="117" spans="1:11">
      <c r="A117" s="133"/>
      <c r="B117" s="13"/>
      <c r="C117" s="13"/>
      <c r="D117" s="13"/>
      <c r="E117" s="13"/>
      <c r="F117" s="13"/>
      <c r="G117" s="13"/>
      <c r="H117" s="13"/>
      <c r="I117" s="13"/>
      <c r="J117" s="13"/>
      <c r="K117" s="13"/>
    </row>
    <row r="118" spans="1:11">
      <c r="A118" s="133"/>
      <c r="B118" s="13"/>
      <c r="C118" s="13"/>
      <c r="D118" s="13"/>
      <c r="E118" s="13"/>
      <c r="F118" s="13"/>
      <c r="G118" s="13"/>
      <c r="H118" s="13"/>
      <c r="I118" s="13"/>
      <c r="J118" s="13"/>
      <c r="K118" s="13"/>
    </row>
    <row r="119" spans="1:11">
      <c r="A119" s="133"/>
      <c r="B119" s="13"/>
      <c r="C119" s="13"/>
      <c r="D119" s="13"/>
      <c r="E119" s="13"/>
      <c r="F119" s="13"/>
      <c r="G119" s="13"/>
      <c r="H119" s="13"/>
      <c r="I119" s="13"/>
      <c r="J119" s="13"/>
      <c r="K119" s="13"/>
    </row>
    <row r="120" spans="1:11">
      <c r="A120" s="133"/>
      <c r="B120" s="13"/>
      <c r="C120" s="13"/>
      <c r="D120" s="13"/>
      <c r="E120" s="13"/>
      <c r="F120" s="13"/>
      <c r="G120" s="13"/>
      <c r="H120" s="13"/>
      <c r="I120" s="13"/>
      <c r="J120" s="13"/>
      <c r="K120" s="13"/>
    </row>
    <row r="121" spans="1:11">
      <c r="A121" s="133"/>
      <c r="B121" s="13"/>
      <c r="C121" s="13"/>
      <c r="D121" s="13"/>
      <c r="E121" s="13"/>
      <c r="F121" s="13"/>
      <c r="G121" s="13"/>
      <c r="H121" s="13"/>
      <c r="I121" s="13"/>
      <c r="J121" s="13"/>
      <c r="K121" s="13"/>
    </row>
    <row r="122" spans="1:11">
      <c r="A122" s="133"/>
      <c r="B122" s="13"/>
      <c r="C122" s="13"/>
      <c r="D122" s="13"/>
      <c r="E122" s="13"/>
      <c r="F122" s="13"/>
      <c r="G122" s="13"/>
      <c r="H122" s="13"/>
      <c r="I122" s="13"/>
      <c r="J122" s="13"/>
      <c r="K122" s="13"/>
    </row>
    <row r="123" spans="1:11">
      <c r="A123" s="133"/>
      <c r="B123" s="13"/>
      <c r="C123" s="13"/>
      <c r="D123" s="13"/>
      <c r="E123" s="13"/>
      <c r="F123" s="13"/>
      <c r="G123" s="13"/>
      <c r="H123" s="13"/>
      <c r="I123" s="13"/>
      <c r="J123" s="13"/>
      <c r="K123" s="13"/>
    </row>
    <row r="124" spans="1:11">
      <c r="A124" s="133"/>
      <c r="B124" s="13"/>
      <c r="C124" s="13"/>
      <c r="D124" s="13"/>
      <c r="E124" s="13"/>
      <c r="F124" s="13"/>
      <c r="G124" s="13"/>
      <c r="H124" s="13"/>
      <c r="I124" s="13"/>
      <c r="J124" s="13"/>
      <c r="K124" s="13"/>
    </row>
    <row r="125" spans="1:11">
      <c r="A125" s="133"/>
      <c r="B125" s="13"/>
      <c r="C125" s="13"/>
      <c r="D125" s="13"/>
      <c r="E125" s="13"/>
      <c r="F125" s="13"/>
      <c r="G125" s="13"/>
      <c r="H125" s="13"/>
      <c r="I125" s="13"/>
      <c r="J125" s="13"/>
      <c r="K125" s="13"/>
    </row>
    <row r="126" spans="1:11">
      <c r="A126" s="133"/>
      <c r="B126" s="13"/>
      <c r="C126" s="13"/>
      <c r="D126" s="13"/>
      <c r="E126" s="13"/>
      <c r="F126" s="13"/>
      <c r="G126" s="13"/>
      <c r="H126" s="13"/>
      <c r="I126" s="13"/>
      <c r="J126" s="13"/>
      <c r="K126" s="13"/>
    </row>
    <row r="127" spans="1:11">
      <c r="A127" s="133"/>
      <c r="B127" s="13"/>
      <c r="C127" s="13"/>
      <c r="D127" s="13"/>
      <c r="E127" s="13"/>
      <c r="F127" s="13"/>
      <c r="G127" s="13"/>
      <c r="H127" s="13"/>
      <c r="I127" s="13"/>
      <c r="J127" s="13"/>
      <c r="K127" s="13"/>
    </row>
    <row r="128" spans="1:11">
      <c r="A128" s="133"/>
      <c r="B128" s="13"/>
      <c r="C128" s="13"/>
      <c r="D128" s="13"/>
      <c r="E128" s="13"/>
      <c r="F128" s="13"/>
      <c r="G128" s="13"/>
      <c r="H128" s="13"/>
      <c r="I128" s="13"/>
      <c r="J128" s="13"/>
      <c r="K128" s="13"/>
    </row>
    <row r="129" spans="1:11">
      <c r="A129" s="133"/>
      <c r="B129" s="13"/>
      <c r="C129" s="13"/>
      <c r="D129" s="13"/>
      <c r="E129" s="13"/>
      <c r="F129" s="13"/>
      <c r="G129" s="13"/>
      <c r="H129" s="13"/>
      <c r="I129" s="13"/>
      <c r="J129" s="13"/>
      <c r="K129" s="13"/>
    </row>
    <row r="130" spans="1:11">
      <c r="A130" s="133"/>
      <c r="B130" s="13"/>
      <c r="C130" s="13"/>
      <c r="D130" s="13"/>
      <c r="E130" s="13"/>
      <c r="F130" s="13"/>
      <c r="G130" s="13"/>
      <c r="H130" s="13"/>
      <c r="I130" s="13"/>
      <c r="J130" s="13"/>
      <c r="K130" s="13"/>
    </row>
    <row r="131" spans="1:11">
      <c r="A131" s="133"/>
      <c r="B131" s="13"/>
      <c r="C131" s="13"/>
      <c r="D131" s="13"/>
      <c r="E131" s="13"/>
      <c r="F131" s="13"/>
      <c r="G131" s="13"/>
      <c r="H131" s="13"/>
      <c r="I131" s="13"/>
      <c r="J131" s="13"/>
      <c r="K131" s="13"/>
    </row>
    <row r="132" spans="1:11">
      <c r="A132" s="133"/>
      <c r="B132" s="13"/>
      <c r="C132" s="13"/>
      <c r="D132" s="13"/>
      <c r="E132" s="13"/>
      <c r="F132" s="13"/>
      <c r="G132" s="13"/>
      <c r="H132" s="13"/>
      <c r="I132" s="13"/>
      <c r="J132" s="13"/>
      <c r="K132" s="13"/>
    </row>
    <row r="133" spans="1:11">
      <c r="A133" s="133"/>
      <c r="B133" s="13"/>
      <c r="C133" s="13"/>
      <c r="D133" s="13"/>
      <c r="E133" s="13"/>
      <c r="F133" s="13"/>
      <c r="G133" s="13"/>
      <c r="H133" s="13"/>
      <c r="I133" s="13"/>
      <c r="J133" s="13"/>
      <c r="K133" s="13"/>
    </row>
    <row r="134" spans="1:11">
      <c r="A134" s="133"/>
      <c r="B134" s="13"/>
      <c r="C134" s="13"/>
      <c r="D134" s="13"/>
      <c r="E134" s="13"/>
      <c r="F134" s="13"/>
      <c r="G134" s="13"/>
      <c r="H134" s="13"/>
      <c r="I134" s="13"/>
      <c r="J134" s="13"/>
      <c r="K134" s="13"/>
    </row>
    <row r="135" spans="1:11">
      <c r="A135" s="133"/>
      <c r="B135" s="13"/>
      <c r="C135" s="13"/>
      <c r="D135" s="13"/>
      <c r="E135" s="13"/>
      <c r="F135" s="13"/>
      <c r="G135" s="13"/>
      <c r="H135" s="13"/>
      <c r="I135" s="13"/>
      <c r="J135" s="13"/>
      <c r="K135" s="13"/>
    </row>
    <row r="136" spans="1:11">
      <c r="A136" s="133"/>
      <c r="B136" s="13"/>
      <c r="C136" s="13"/>
      <c r="D136" s="13"/>
      <c r="E136" s="13"/>
      <c r="F136" s="13"/>
      <c r="G136" s="13"/>
      <c r="H136" s="13"/>
      <c r="I136" s="13"/>
      <c r="J136" s="13"/>
      <c r="K136" s="13"/>
    </row>
    <row r="137" spans="1:11">
      <c r="A137" s="133"/>
      <c r="B137" s="13"/>
      <c r="C137" s="13"/>
      <c r="D137" s="13"/>
      <c r="E137" s="13"/>
      <c r="F137" s="13"/>
      <c r="G137" s="13"/>
      <c r="H137" s="13"/>
      <c r="I137" s="13"/>
      <c r="J137" s="13"/>
      <c r="K137" s="13"/>
    </row>
    <row r="138" spans="1:11">
      <c r="A138" s="133"/>
      <c r="B138" s="13"/>
      <c r="C138" s="13"/>
      <c r="D138" s="13"/>
      <c r="E138" s="13"/>
      <c r="F138" s="13"/>
      <c r="G138" s="13"/>
      <c r="H138" s="13"/>
      <c r="I138" s="13"/>
      <c r="J138" s="13"/>
      <c r="K138" s="13"/>
    </row>
    <row r="139" spans="1:11">
      <c r="A139" s="133"/>
      <c r="B139" s="13"/>
      <c r="C139" s="13"/>
      <c r="D139" s="13"/>
      <c r="E139" s="13"/>
      <c r="F139" s="13"/>
      <c r="G139" s="13"/>
      <c r="H139" s="13"/>
      <c r="I139" s="13"/>
      <c r="J139" s="13"/>
      <c r="K139" s="13"/>
    </row>
    <row r="140" spans="1:11">
      <c r="A140" s="133"/>
      <c r="B140" s="13"/>
      <c r="C140" s="13"/>
      <c r="D140" s="13"/>
      <c r="E140" s="13"/>
      <c r="F140" s="13"/>
      <c r="G140" s="13"/>
      <c r="H140" s="13"/>
      <c r="I140" s="13"/>
      <c r="J140" s="13"/>
      <c r="K140" s="13"/>
    </row>
    <row r="141" spans="1:11">
      <c r="A141" s="133"/>
      <c r="B141" s="13"/>
      <c r="C141" s="13"/>
      <c r="D141" s="13"/>
      <c r="E141" s="13"/>
      <c r="F141" s="13"/>
      <c r="G141" s="13"/>
      <c r="H141" s="13"/>
      <c r="I141" s="13"/>
      <c r="J141" s="13"/>
      <c r="K141" s="13"/>
    </row>
    <row r="142" spans="1:11">
      <c r="A142" s="133"/>
      <c r="B142" s="13"/>
      <c r="C142" s="13"/>
      <c r="D142" s="13"/>
      <c r="E142" s="13"/>
      <c r="F142" s="13"/>
      <c r="G142" s="13"/>
      <c r="H142" s="13"/>
      <c r="I142" s="13"/>
      <c r="J142" s="13"/>
      <c r="K142" s="13"/>
    </row>
    <row r="143" spans="1:11">
      <c r="A143" s="133"/>
      <c r="B143" s="13"/>
      <c r="C143" s="13"/>
      <c r="D143" s="13"/>
      <c r="E143" s="13"/>
      <c r="F143" s="13"/>
      <c r="G143" s="13"/>
      <c r="H143" s="13"/>
      <c r="I143" s="13"/>
      <c r="J143" s="13"/>
      <c r="K143" s="13"/>
    </row>
    <row r="144" spans="1:11">
      <c r="A144" s="133"/>
      <c r="B144" s="13"/>
      <c r="C144" s="13"/>
      <c r="D144" s="13"/>
      <c r="E144" s="13"/>
      <c r="F144" s="13"/>
      <c r="G144" s="13"/>
      <c r="H144" s="13"/>
      <c r="I144" s="13"/>
      <c r="J144" s="13"/>
      <c r="K144" s="13"/>
    </row>
    <row r="145" spans="1:11">
      <c r="A145" s="133"/>
      <c r="B145" s="13"/>
      <c r="C145" s="13"/>
      <c r="D145" s="13"/>
      <c r="E145" s="13"/>
      <c r="F145" s="13"/>
      <c r="G145" s="13"/>
      <c r="H145" s="13"/>
      <c r="I145" s="13"/>
      <c r="J145" s="13"/>
      <c r="K145" s="13"/>
    </row>
    <row r="146" spans="1:11">
      <c r="A146" s="133"/>
      <c r="B146" s="13"/>
      <c r="C146" s="13"/>
      <c r="D146" s="13"/>
      <c r="E146" s="13"/>
      <c r="F146" s="13"/>
      <c r="G146" s="13"/>
      <c r="H146" s="13"/>
      <c r="I146" s="13"/>
      <c r="J146" s="13"/>
      <c r="K146" s="13"/>
    </row>
    <row r="147" spans="1:11">
      <c r="A147" s="133"/>
      <c r="B147" s="13"/>
      <c r="C147" s="13"/>
      <c r="D147" s="13"/>
      <c r="E147" s="13"/>
      <c r="F147" s="13"/>
      <c r="G147" s="13"/>
      <c r="H147" s="13"/>
      <c r="I147" s="13"/>
      <c r="J147" s="13"/>
      <c r="K147" s="13"/>
    </row>
    <row r="148" spans="1:11">
      <c r="A148" s="133"/>
      <c r="B148" s="13"/>
      <c r="C148" s="13"/>
      <c r="D148" s="13"/>
      <c r="E148" s="13"/>
      <c r="F148" s="13"/>
      <c r="G148" s="13"/>
      <c r="H148" s="13"/>
      <c r="I148" s="13"/>
      <c r="J148" s="13"/>
      <c r="K148" s="13"/>
    </row>
    <row r="149" spans="1:11">
      <c r="A149" s="133"/>
      <c r="B149" s="13"/>
      <c r="C149" s="13"/>
      <c r="D149" s="13"/>
      <c r="E149" s="13"/>
      <c r="F149" s="13"/>
      <c r="G149" s="13"/>
      <c r="H149" s="13"/>
      <c r="I149" s="13"/>
      <c r="J149" s="13"/>
      <c r="K149" s="13"/>
    </row>
    <row r="150" spans="1:11">
      <c r="A150" s="133"/>
      <c r="B150" s="13"/>
      <c r="C150" s="13"/>
      <c r="D150" s="13"/>
      <c r="E150" s="13"/>
      <c r="F150" s="13"/>
      <c r="G150" s="13"/>
      <c r="H150" s="13"/>
      <c r="I150" s="13"/>
      <c r="J150" s="13"/>
      <c r="K150" s="13"/>
    </row>
    <row r="151" spans="1:11">
      <c r="A151" s="133"/>
      <c r="B151" s="13"/>
      <c r="C151" s="13"/>
      <c r="D151" s="13"/>
      <c r="E151" s="13"/>
      <c r="F151" s="13"/>
      <c r="G151" s="13"/>
      <c r="H151" s="13"/>
      <c r="I151" s="13"/>
      <c r="J151" s="13"/>
      <c r="K151" s="13"/>
    </row>
    <row r="152" spans="1:11">
      <c r="A152" s="133"/>
      <c r="B152" s="13"/>
      <c r="C152" s="13"/>
      <c r="D152" s="13"/>
      <c r="E152" s="13"/>
      <c r="F152" s="13"/>
      <c r="G152" s="13"/>
      <c r="H152" s="13"/>
      <c r="I152" s="13"/>
      <c r="J152" s="13"/>
      <c r="K152" s="13"/>
    </row>
    <row r="153" spans="1:11">
      <c r="A153" s="133"/>
      <c r="B153" s="13"/>
      <c r="C153" s="13"/>
      <c r="D153" s="13"/>
      <c r="E153" s="13"/>
      <c r="F153" s="13"/>
      <c r="G153" s="13"/>
      <c r="H153" s="13"/>
      <c r="I153" s="13"/>
      <c r="J153" s="13"/>
      <c r="K153" s="13"/>
    </row>
    <row r="154" spans="1:11">
      <c r="A154" s="133"/>
      <c r="B154" s="13"/>
      <c r="C154" s="13"/>
      <c r="D154" s="13"/>
      <c r="E154" s="13"/>
      <c r="F154" s="13"/>
      <c r="G154" s="13"/>
      <c r="H154" s="13"/>
      <c r="I154" s="13"/>
      <c r="J154" s="13"/>
      <c r="K154" s="13"/>
    </row>
    <row r="155" spans="1:11">
      <c r="A155" s="133"/>
      <c r="B155" s="13"/>
      <c r="C155" s="13"/>
      <c r="D155" s="13"/>
      <c r="E155" s="13"/>
      <c r="F155" s="13"/>
      <c r="G155" s="13"/>
      <c r="H155" s="13"/>
      <c r="I155" s="13"/>
      <c r="J155" s="13"/>
      <c r="K155" s="13"/>
    </row>
    <row r="156" spans="1:11">
      <c r="A156" s="133"/>
      <c r="B156" s="13"/>
      <c r="C156" s="13"/>
      <c r="D156" s="13"/>
      <c r="E156" s="13"/>
      <c r="F156" s="13"/>
      <c r="G156" s="13"/>
      <c r="H156" s="13"/>
      <c r="I156" s="13"/>
      <c r="J156" s="13"/>
      <c r="K156" s="13"/>
    </row>
    <row r="157" spans="1:11">
      <c r="A157" s="133"/>
      <c r="B157" s="13"/>
      <c r="C157" s="13"/>
      <c r="D157" s="13"/>
      <c r="E157" s="13"/>
      <c r="F157" s="13"/>
      <c r="G157" s="13"/>
      <c r="H157" s="13"/>
      <c r="I157" s="13"/>
      <c r="J157" s="13"/>
      <c r="K157" s="13"/>
    </row>
    <row r="158" spans="1:11">
      <c r="A158" s="133"/>
      <c r="B158" s="13"/>
      <c r="C158" s="13"/>
      <c r="D158" s="13"/>
      <c r="E158" s="13"/>
      <c r="F158" s="13"/>
      <c r="G158" s="13"/>
      <c r="H158" s="13"/>
      <c r="I158" s="13"/>
      <c r="J158" s="13"/>
      <c r="K158" s="13"/>
    </row>
    <row r="159" spans="1:11">
      <c r="A159" s="133"/>
      <c r="B159" s="13"/>
      <c r="C159" s="13"/>
      <c r="D159" s="13"/>
      <c r="E159" s="13"/>
      <c r="F159" s="13"/>
      <c r="G159" s="13"/>
      <c r="H159" s="13"/>
      <c r="I159" s="13"/>
      <c r="J159" s="13"/>
      <c r="K159" s="13"/>
    </row>
    <row r="160" spans="1:11">
      <c r="A160" s="133"/>
      <c r="B160" s="13"/>
      <c r="C160" s="13"/>
      <c r="D160" s="13"/>
      <c r="E160" s="13"/>
      <c r="F160" s="13"/>
      <c r="G160" s="13"/>
      <c r="H160" s="13"/>
      <c r="I160" s="13"/>
      <c r="J160" s="13"/>
      <c r="K160" s="13"/>
    </row>
    <row r="161" spans="1:11">
      <c r="A161" s="133"/>
      <c r="B161" s="13"/>
      <c r="C161" s="13"/>
      <c r="D161" s="13"/>
      <c r="E161" s="13"/>
      <c r="F161" s="13"/>
      <c r="G161" s="13"/>
      <c r="H161" s="13"/>
      <c r="I161" s="13"/>
      <c r="J161" s="13"/>
      <c r="K161" s="13"/>
    </row>
    <row r="162" spans="1:11">
      <c r="A162" s="133"/>
      <c r="B162" s="13"/>
      <c r="C162" s="13"/>
      <c r="D162" s="13"/>
      <c r="E162" s="13"/>
      <c r="F162" s="13"/>
      <c r="G162" s="13"/>
      <c r="H162" s="13"/>
      <c r="I162" s="13"/>
      <c r="J162" s="13"/>
      <c r="K162" s="13"/>
    </row>
    <row r="163" spans="1:11">
      <c r="A163" s="133"/>
      <c r="B163" s="13"/>
      <c r="C163" s="13"/>
      <c r="D163" s="13"/>
      <c r="E163" s="13"/>
      <c r="F163" s="13"/>
      <c r="G163" s="13"/>
      <c r="H163" s="13"/>
      <c r="I163" s="13"/>
      <c r="J163" s="13"/>
      <c r="K163" s="13"/>
    </row>
    <row r="164" spans="1:11">
      <c r="A164" s="133"/>
      <c r="B164" s="13"/>
      <c r="C164" s="13"/>
      <c r="D164" s="13"/>
      <c r="E164" s="13"/>
      <c r="F164" s="13"/>
      <c r="G164" s="13"/>
      <c r="H164" s="13"/>
      <c r="I164" s="13"/>
      <c r="J164" s="13"/>
      <c r="K164" s="13"/>
    </row>
    <row r="165" spans="1:11">
      <c r="A165" s="133"/>
      <c r="B165" s="13"/>
      <c r="C165" s="13"/>
      <c r="D165" s="13"/>
      <c r="E165" s="13"/>
      <c r="F165" s="13"/>
      <c r="G165" s="13"/>
      <c r="H165" s="13"/>
      <c r="I165" s="13"/>
      <c r="J165" s="13"/>
      <c r="K165" s="13"/>
    </row>
    <row r="166" spans="1:11">
      <c r="A166" s="133"/>
      <c r="B166" s="13"/>
      <c r="C166" s="13"/>
      <c r="D166" s="13"/>
      <c r="E166" s="13"/>
      <c r="F166" s="13"/>
      <c r="G166" s="13"/>
      <c r="H166" s="13"/>
      <c r="I166" s="13"/>
      <c r="J166" s="13"/>
      <c r="K166" s="13"/>
    </row>
    <row r="167" spans="1:11">
      <c r="A167" s="133"/>
      <c r="B167" s="13"/>
      <c r="C167" s="13"/>
      <c r="D167" s="13"/>
      <c r="E167" s="13"/>
      <c r="F167" s="13"/>
      <c r="G167" s="13"/>
      <c r="H167" s="13"/>
      <c r="I167" s="13"/>
      <c r="J167" s="13"/>
      <c r="K167" s="13"/>
    </row>
    <row r="168" spans="1:11">
      <c r="A168" s="133"/>
      <c r="B168" s="13"/>
      <c r="C168" s="13"/>
      <c r="D168" s="13"/>
      <c r="E168" s="13"/>
      <c r="F168" s="13"/>
      <c r="G168" s="13"/>
      <c r="H168" s="13"/>
      <c r="I168" s="13"/>
      <c r="J168" s="13"/>
      <c r="K168" s="13"/>
    </row>
    <row r="169" spans="1:11">
      <c r="A169" s="133"/>
      <c r="B169" s="13"/>
      <c r="C169" s="13"/>
      <c r="D169" s="13"/>
      <c r="E169" s="13"/>
      <c r="F169" s="13"/>
      <c r="G169" s="13"/>
      <c r="H169" s="13"/>
      <c r="I169" s="13"/>
      <c r="J169" s="13"/>
      <c r="K169" s="13"/>
    </row>
    <row r="170" spans="1:11">
      <c r="A170" s="133"/>
      <c r="B170" s="13"/>
      <c r="C170" s="13"/>
      <c r="D170" s="13"/>
      <c r="E170" s="13"/>
      <c r="F170" s="13"/>
      <c r="G170" s="13"/>
      <c r="H170" s="13"/>
      <c r="I170" s="13"/>
      <c r="J170" s="13"/>
      <c r="K170" s="13"/>
    </row>
    <row r="171" spans="1:11">
      <c r="A171" s="133"/>
      <c r="B171" s="13"/>
      <c r="C171" s="13"/>
      <c r="D171" s="13"/>
      <c r="E171" s="13"/>
      <c r="F171" s="13"/>
      <c r="G171" s="13"/>
      <c r="H171" s="13"/>
      <c r="I171" s="13"/>
      <c r="J171" s="13"/>
      <c r="K171" s="13"/>
    </row>
    <row r="172" spans="1:11">
      <c r="A172" s="133"/>
      <c r="B172" s="13"/>
      <c r="C172" s="13"/>
      <c r="D172" s="13"/>
      <c r="E172" s="13"/>
      <c r="F172" s="13"/>
      <c r="G172" s="13"/>
      <c r="H172" s="13"/>
      <c r="I172" s="13"/>
      <c r="J172" s="13"/>
      <c r="K172" s="13"/>
    </row>
    <row r="173" spans="1:11">
      <c r="A173" s="133"/>
      <c r="B173" s="13"/>
      <c r="C173" s="13"/>
      <c r="D173" s="13"/>
      <c r="E173" s="13"/>
      <c r="F173" s="13"/>
      <c r="G173" s="13"/>
      <c r="H173" s="13"/>
      <c r="I173" s="13"/>
      <c r="J173" s="13"/>
      <c r="K173" s="13"/>
    </row>
    <row r="174" spans="1:11">
      <c r="A174" s="133"/>
      <c r="B174" s="13"/>
      <c r="C174" s="13"/>
      <c r="D174" s="13"/>
      <c r="E174" s="13"/>
      <c r="F174" s="13"/>
      <c r="G174" s="13"/>
      <c r="H174" s="13"/>
      <c r="I174" s="13"/>
      <c r="J174" s="13"/>
      <c r="K174" s="13"/>
    </row>
    <row r="175" spans="1:11">
      <c r="A175" s="133"/>
      <c r="B175" s="13"/>
      <c r="C175" s="13"/>
      <c r="D175" s="13"/>
      <c r="E175" s="13"/>
      <c r="F175" s="13"/>
      <c r="G175" s="13"/>
      <c r="H175" s="13"/>
      <c r="I175" s="13"/>
      <c r="J175" s="13"/>
      <c r="K175" s="13"/>
    </row>
    <row r="176" spans="1:11">
      <c r="A176" s="133"/>
      <c r="B176" s="13"/>
      <c r="C176" s="13"/>
      <c r="D176" s="13"/>
      <c r="E176" s="13"/>
      <c r="F176" s="13"/>
      <c r="G176" s="13"/>
      <c r="H176" s="13"/>
      <c r="I176" s="13"/>
      <c r="J176" s="13"/>
      <c r="K176" s="13"/>
    </row>
    <row r="177" spans="1:11">
      <c r="A177" s="133"/>
      <c r="B177" s="13"/>
      <c r="C177" s="13"/>
      <c r="D177" s="13"/>
      <c r="E177" s="13"/>
      <c r="F177" s="13"/>
      <c r="G177" s="13"/>
      <c r="H177" s="13"/>
      <c r="I177" s="13"/>
      <c r="J177" s="13"/>
      <c r="K177" s="13"/>
    </row>
    <row r="178" spans="1:11">
      <c r="A178" s="133"/>
      <c r="B178" s="13"/>
      <c r="C178" s="13"/>
      <c r="D178" s="13"/>
      <c r="E178" s="13"/>
      <c r="F178" s="13"/>
      <c r="G178" s="13"/>
      <c r="H178" s="13"/>
      <c r="I178" s="13"/>
      <c r="J178" s="13"/>
      <c r="K178" s="13"/>
    </row>
    <row r="179" spans="1:11">
      <c r="A179" s="133"/>
      <c r="B179" s="13"/>
      <c r="C179" s="13"/>
      <c r="D179" s="13"/>
      <c r="E179" s="13"/>
      <c r="F179" s="13"/>
      <c r="G179" s="13"/>
      <c r="H179" s="13"/>
      <c r="I179" s="13"/>
      <c r="J179" s="13"/>
      <c r="K179" s="13"/>
    </row>
    <row r="180" spans="1:11">
      <c r="A180" s="133"/>
      <c r="B180" s="13"/>
      <c r="C180" s="13"/>
      <c r="D180" s="13"/>
      <c r="E180" s="13"/>
      <c r="F180" s="13"/>
      <c r="G180" s="13"/>
      <c r="H180" s="13"/>
      <c r="I180" s="13"/>
      <c r="J180" s="13"/>
      <c r="K180" s="13"/>
    </row>
    <row r="181" spans="1:11">
      <c r="A181" s="133"/>
      <c r="B181" s="13"/>
      <c r="C181" s="13"/>
      <c r="D181" s="13"/>
      <c r="E181" s="13"/>
      <c r="F181" s="13"/>
      <c r="G181" s="13"/>
      <c r="H181" s="13"/>
      <c r="I181" s="13"/>
      <c r="J181" s="13"/>
      <c r="K181" s="13"/>
    </row>
    <row r="182" spans="1:11">
      <c r="A182" s="133"/>
      <c r="B182" s="13"/>
      <c r="C182" s="13"/>
      <c r="D182" s="13"/>
      <c r="E182" s="13"/>
      <c r="F182" s="13"/>
      <c r="G182" s="13"/>
      <c r="H182" s="13"/>
      <c r="I182" s="13"/>
      <c r="J182" s="13"/>
      <c r="K182" s="13"/>
    </row>
    <row r="183" spans="1:11">
      <c r="A183" s="133"/>
      <c r="B183" s="13"/>
      <c r="C183" s="13"/>
      <c r="D183" s="13"/>
      <c r="E183" s="13"/>
      <c r="F183" s="13"/>
      <c r="G183" s="13"/>
      <c r="H183" s="13"/>
      <c r="I183" s="13"/>
      <c r="J183" s="13"/>
      <c r="K183" s="13"/>
    </row>
    <row r="184" spans="1:11">
      <c r="A184" s="133"/>
      <c r="B184" s="13"/>
      <c r="C184" s="13"/>
      <c r="D184" s="13"/>
      <c r="E184" s="13"/>
      <c r="F184" s="13"/>
      <c r="G184" s="13"/>
      <c r="H184" s="13"/>
      <c r="I184" s="13"/>
      <c r="J184" s="13"/>
      <c r="K184" s="13"/>
    </row>
    <row r="185" spans="1:11">
      <c r="A185" s="133"/>
      <c r="B185" s="13"/>
      <c r="C185" s="13"/>
      <c r="D185" s="13"/>
      <c r="E185" s="13"/>
      <c r="F185" s="13"/>
      <c r="G185" s="13"/>
      <c r="H185" s="13"/>
      <c r="I185" s="13"/>
      <c r="J185" s="13"/>
      <c r="K185" s="13"/>
    </row>
    <row r="186" spans="1:11">
      <c r="A186" s="133"/>
      <c r="B186" s="13"/>
      <c r="C186" s="13"/>
      <c r="D186" s="13"/>
      <c r="E186" s="13"/>
      <c r="F186" s="13"/>
      <c r="G186" s="13"/>
      <c r="H186" s="13"/>
      <c r="I186" s="13"/>
      <c r="J186" s="13"/>
      <c r="K186" s="13"/>
    </row>
    <row r="187" spans="1:11">
      <c r="A187" s="133"/>
      <c r="B187" s="13"/>
      <c r="C187" s="13"/>
      <c r="D187" s="13"/>
      <c r="E187" s="13"/>
      <c r="F187" s="13"/>
      <c r="G187" s="13"/>
      <c r="H187" s="13"/>
      <c r="I187" s="13"/>
      <c r="J187" s="13"/>
      <c r="K187" s="13"/>
    </row>
    <row r="188" spans="1:11">
      <c r="A188" s="133"/>
      <c r="B188" s="13"/>
      <c r="C188" s="13"/>
      <c r="D188" s="13"/>
      <c r="E188" s="13"/>
      <c r="F188" s="13"/>
      <c r="G188" s="13"/>
      <c r="H188" s="13"/>
      <c r="I188" s="13"/>
      <c r="J188" s="13"/>
      <c r="K188" s="13"/>
    </row>
    <row r="189" spans="1:11">
      <c r="A189" s="133"/>
      <c r="B189" s="13"/>
      <c r="C189" s="13"/>
      <c r="D189" s="13"/>
      <c r="E189" s="13"/>
      <c r="F189" s="13"/>
      <c r="G189" s="13"/>
      <c r="H189" s="13"/>
      <c r="I189" s="13"/>
      <c r="J189" s="13"/>
      <c r="K189" s="13"/>
    </row>
    <row r="190" spans="1:11">
      <c r="A190" s="133"/>
      <c r="B190" s="13"/>
      <c r="C190" s="13"/>
      <c r="D190" s="13"/>
      <c r="E190" s="13"/>
      <c r="F190" s="13"/>
      <c r="G190" s="13"/>
      <c r="H190" s="13"/>
      <c r="I190" s="13"/>
      <c r="J190" s="13"/>
      <c r="K190" s="13"/>
    </row>
    <row r="191" spans="1:11">
      <c r="A191" s="133"/>
      <c r="B191" s="13"/>
      <c r="C191" s="13"/>
      <c r="D191" s="13"/>
      <c r="E191" s="13"/>
      <c r="F191" s="13"/>
      <c r="G191" s="13"/>
      <c r="H191" s="13"/>
      <c r="I191" s="13"/>
      <c r="J191" s="13"/>
      <c r="K191" s="13"/>
    </row>
    <row r="192" spans="1:11">
      <c r="A192" s="133"/>
      <c r="B192" s="13"/>
      <c r="C192" s="13"/>
      <c r="D192" s="13"/>
      <c r="E192" s="13"/>
      <c r="F192" s="13"/>
      <c r="G192" s="13"/>
      <c r="H192" s="13"/>
      <c r="I192" s="13"/>
      <c r="J192" s="13"/>
      <c r="K192" s="13"/>
    </row>
    <row r="193" spans="1:11">
      <c r="A193" s="133"/>
      <c r="B193" s="13"/>
      <c r="C193" s="13"/>
      <c r="D193" s="13"/>
      <c r="E193" s="13"/>
      <c r="F193" s="13"/>
      <c r="G193" s="13"/>
      <c r="H193" s="13"/>
      <c r="I193" s="13"/>
      <c r="J193" s="13"/>
      <c r="K193" s="13"/>
    </row>
    <row r="194" spans="1:11">
      <c r="A194" s="133"/>
      <c r="B194" s="13"/>
      <c r="C194" s="13"/>
      <c r="D194" s="13"/>
      <c r="E194" s="13"/>
      <c r="F194" s="13"/>
      <c r="G194" s="13"/>
      <c r="H194" s="13"/>
      <c r="I194" s="13"/>
      <c r="J194" s="13"/>
      <c r="K194" s="13"/>
    </row>
    <row r="195" spans="1:11">
      <c r="A195" s="133"/>
      <c r="B195" s="13"/>
      <c r="C195" s="13"/>
      <c r="D195" s="13"/>
      <c r="E195" s="13"/>
      <c r="F195" s="13"/>
      <c r="G195" s="13"/>
      <c r="H195" s="13"/>
      <c r="I195" s="13"/>
      <c r="J195" s="13"/>
      <c r="K195" s="13"/>
    </row>
    <row r="196" spans="1:11">
      <c r="A196" s="133"/>
      <c r="B196" s="13"/>
      <c r="C196" s="13"/>
      <c r="D196" s="13"/>
      <c r="E196" s="13"/>
      <c r="F196" s="13"/>
      <c r="G196" s="13"/>
      <c r="H196" s="13"/>
      <c r="I196" s="13"/>
      <c r="J196" s="13"/>
      <c r="K196" s="13"/>
    </row>
    <row r="197" spans="1:11">
      <c r="A197" s="133"/>
      <c r="B197" s="13"/>
      <c r="C197" s="13"/>
      <c r="D197" s="13"/>
      <c r="E197" s="13"/>
      <c r="F197" s="13"/>
      <c r="G197" s="13"/>
      <c r="H197" s="13"/>
      <c r="I197" s="13"/>
      <c r="J197" s="13"/>
      <c r="K197" s="13"/>
    </row>
    <row r="198" spans="1:11">
      <c r="A198" s="133"/>
      <c r="B198" s="13"/>
      <c r="C198" s="13"/>
      <c r="D198" s="13"/>
      <c r="E198" s="13"/>
      <c r="F198" s="13"/>
      <c r="G198" s="13"/>
      <c r="H198" s="13"/>
      <c r="I198" s="13"/>
      <c r="J198" s="13"/>
      <c r="K198" s="13"/>
    </row>
    <row r="199" spans="1:11">
      <c r="A199" s="133"/>
      <c r="B199" s="13"/>
      <c r="C199" s="13"/>
      <c r="D199" s="13"/>
      <c r="E199" s="13"/>
      <c r="F199" s="13"/>
      <c r="G199" s="13"/>
      <c r="H199" s="13"/>
      <c r="I199" s="13"/>
      <c r="J199" s="13"/>
      <c r="K199" s="13"/>
    </row>
    <row r="200" spans="1:11">
      <c r="A200" s="133"/>
      <c r="B200" s="13"/>
      <c r="C200" s="13"/>
      <c r="D200" s="13"/>
      <c r="E200" s="13"/>
      <c r="F200" s="13"/>
      <c r="G200" s="13"/>
      <c r="H200" s="13"/>
      <c r="I200" s="13"/>
      <c r="J200" s="13"/>
      <c r="K200" s="13"/>
    </row>
    <row r="201" spans="1:11">
      <c r="A201" s="133"/>
      <c r="B201" s="13"/>
      <c r="C201" s="13"/>
      <c r="D201" s="13"/>
      <c r="E201" s="13"/>
      <c r="F201" s="13"/>
      <c r="G201" s="13"/>
      <c r="H201" s="13"/>
      <c r="I201" s="13"/>
      <c r="J201" s="13"/>
      <c r="K201" s="13"/>
    </row>
    <row r="202" spans="1:11">
      <c r="A202" s="133"/>
      <c r="B202" s="13"/>
      <c r="C202" s="13"/>
      <c r="D202" s="13"/>
      <c r="E202" s="13"/>
      <c r="F202" s="13"/>
      <c r="G202" s="13"/>
      <c r="H202" s="13"/>
      <c r="I202" s="13"/>
      <c r="J202" s="13"/>
      <c r="K202" s="13"/>
    </row>
    <row r="203" spans="1:11">
      <c r="A203" s="133"/>
      <c r="B203" s="13"/>
      <c r="C203" s="13"/>
      <c r="D203" s="13"/>
      <c r="E203" s="13"/>
      <c r="F203" s="13"/>
      <c r="G203" s="13"/>
      <c r="H203" s="13"/>
      <c r="I203" s="13"/>
      <c r="J203" s="13"/>
      <c r="K203" s="13"/>
    </row>
    <row r="204" spans="1:11">
      <c r="A204" s="133"/>
      <c r="B204" s="13"/>
      <c r="C204" s="13"/>
      <c r="D204" s="13"/>
      <c r="E204" s="13"/>
      <c r="F204" s="13"/>
      <c r="G204" s="13"/>
      <c r="H204" s="13"/>
      <c r="I204" s="13"/>
      <c r="J204" s="13"/>
      <c r="K204" s="13"/>
    </row>
    <row r="205" spans="1:11">
      <c r="A205" s="133"/>
      <c r="B205" s="13"/>
      <c r="C205" s="13"/>
      <c r="D205" s="13"/>
      <c r="E205" s="13"/>
      <c r="F205" s="13"/>
      <c r="G205" s="13"/>
      <c r="H205" s="13"/>
      <c r="I205" s="13"/>
      <c r="J205" s="13"/>
      <c r="K205" s="13"/>
    </row>
    <row r="206" spans="1:11">
      <c r="A206" s="133"/>
      <c r="B206" s="13"/>
      <c r="C206" s="13"/>
      <c r="D206" s="13"/>
      <c r="E206" s="13"/>
      <c r="F206" s="13"/>
      <c r="G206" s="13"/>
      <c r="H206" s="13"/>
      <c r="I206" s="13"/>
      <c r="J206" s="13"/>
      <c r="K206" s="13"/>
    </row>
    <row r="207" spans="1:11">
      <c r="A207" s="133"/>
      <c r="B207" s="13"/>
      <c r="C207" s="13"/>
      <c r="D207" s="13"/>
      <c r="E207" s="13"/>
      <c r="F207" s="13"/>
      <c r="G207" s="13"/>
      <c r="H207" s="13"/>
      <c r="I207" s="13"/>
      <c r="J207" s="13"/>
      <c r="K207" s="13"/>
    </row>
    <row r="208" spans="1:11">
      <c r="A208" s="133"/>
      <c r="B208" s="13"/>
      <c r="C208" s="13"/>
      <c r="D208" s="13"/>
      <c r="E208" s="13"/>
      <c r="F208" s="13"/>
      <c r="G208" s="13"/>
      <c r="H208" s="13"/>
      <c r="I208" s="13"/>
      <c r="J208" s="13"/>
      <c r="K208" s="13"/>
    </row>
    <row r="209" spans="1:11">
      <c r="A209" s="133"/>
      <c r="B209" s="13"/>
      <c r="C209" s="13"/>
      <c r="D209" s="13"/>
      <c r="E209" s="13"/>
      <c r="F209" s="13"/>
      <c r="G209" s="13"/>
      <c r="H209" s="13"/>
      <c r="I209" s="13"/>
      <c r="J209" s="13"/>
      <c r="K209" s="13"/>
    </row>
    <row r="210" spans="1:11">
      <c r="A210" s="133"/>
      <c r="B210" s="13"/>
      <c r="C210" s="13"/>
      <c r="D210" s="13"/>
      <c r="E210" s="13"/>
      <c r="F210" s="13"/>
      <c r="G210" s="13"/>
      <c r="H210" s="13"/>
      <c r="I210" s="13"/>
      <c r="J210" s="13"/>
      <c r="K210" s="13"/>
    </row>
    <row r="211" spans="1:11">
      <c r="A211" s="133"/>
      <c r="B211" s="13"/>
      <c r="C211" s="13"/>
      <c r="D211" s="13"/>
      <c r="E211" s="13"/>
      <c r="F211" s="13"/>
      <c r="G211" s="13"/>
      <c r="H211" s="13"/>
      <c r="I211" s="13"/>
      <c r="J211" s="13"/>
      <c r="K211" s="13"/>
    </row>
    <row r="212" spans="1:11">
      <c r="A212" s="133"/>
      <c r="B212" s="13"/>
      <c r="C212" s="13"/>
      <c r="D212" s="13"/>
      <c r="E212" s="13"/>
      <c r="F212" s="13"/>
      <c r="G212" s="13"/>
      <c r="H212" s="13"/>
      <c r="I212" s="13"/>
      <c r="J212" s="13"/>
      <c r="K212" s="13"/>
    </row>
    <row r="213" spans="1:11">
      <c r="A213" s="133"/>
      <c r="B213" s="13"/>
      <c r="C213" s="13"/>
      <c r="D213" s="13"/>
      <c r="E213" s="13"/>
      <c r="F213" s="13"/>
      <c r="G213" s="13"/>
      <c r="H213" s="13"/>
      <c r="I213" s="13"/>
      <c r="J213" s="13"/>
      <c r="K213" s="13"/>
    </row>
    <row r="214" spans="1:11">
      <c r="A214" s="133"/>
      <c r="B214" s="13"/>
      <c r="C214" s="13"/>
      <c r="D214" s="13"/>
      <c r="E214" s="13"/>
      <c r="F214" s="13"/>
      <c r="G214" s="13"/>
      <c r="H214" s="13"/>
      <c r="I214" s="13"/>
      <c r="J214" s="13"/>
      <c r="K214" s="13"/>
    </row>
    <row r="215" spans="1:11">
      <c r="A215" s="133"/>
      <c r="B215" s="13"/>
      <c r="C215" s="13"/>
      <c r="D215" s="13"/>
      <c r="E215" s="13"/>
      <c r="F215" s="13"/>
      <c r="G215" s="13"/>
      <c r="H215" s="13"/>
      <c r="I215" s="13"/>
      <c r="J215" s="13"/>
      <c r="K215" s="13"/>
    </row>
    <row r="216" spans="1:11">
      <c r="A216" s="133"/>
      <c r="B216" s="13"/>
      <c r="C216" s="13"/>
      <c r="D216" s="13"/>
      <c r="E216" s="13"/>
      <c r="F216" s="13"/>
      <c r="G216" s="13"/>
      <c r="H216" s="13"/>
      <c r="I216" s="13"/>
      <c r="J216" s="13"/>
      <c r="K216" s="13"/>
    </row>
    <row r="217" spans="1:11">
      <c r="A217" s="133"/>
      <c r="B217" s="13"/>
      <c r="C217" s="13"/>
      <c r="D217" s="13"/>
      <c r="E217" s="13"/>
      <c r="F217" s="13"/>
      <c r="G217" s="13"/>
      <c r="H217" s="13"/>
      <c r="I217" s="13"/>
      <c r="J217" s="13"/>
      <c r="K217" s="13"/>
    </row>
    <row r="218" spans="1:11">
      <c r="A218" s="133"/>
      <c r="B218" s="13"/>
      <c r="C218" s="13"/>
      <c r="D218" s="13"/>
      <c r="E218" s="13"/>
      <c r="F218" s="13"/>
      <c r="G218" s="13"/>
      <c r="H218" s="13"/>
      <c r="I218" s="13"/>
      <c r="J218" s="13"/>
      <c r="K218" s="13"/>
    </row>
    <row r="219" spans="1:11">
      <c r="A219" s="133"/>
      <c r="B219" s="13"/>
      <c r="C219" s="13"/>
      <c r="D219" s="13"/>
      <c r="E219" s="13"/>
      <c r="F219" s="13"/>
      <c r="G219" s="13"/>
      <c r="H219" s="13"/>
      <c r="I219" s="13"/>
      <c r="J219" s="13"/>
      <c r="K219" s="13"/>
    </row>
    <row r="220" spans="1:11">
      <c r="A220" s="133"/>
      <c r="B220" s="13"/>
      <c r="C220" s="13"/>
      <c r="D220" s="13"/>
      <c r="E220" s="13"/>
      <c r="F220" s="13"/>
      <c r="G220" s="13"/>
      <c r="H220" s="13"/>
      <c r="I220" s="13"/>
      <c r="J220" s="13"/>
      <c r="K220" s="13"/>
    </row>
    <row r="221" spans="1:11">
      <c r="A221" s="133"/>
      <c r="B221" s="13"/>
      <c r="C221" s="13"/>
      <c r="D221" s="13"/>
      <c r="E221" s="13"/>
      <c r="F221" s="13"/>
      <c r="G221" s="13"/>
      <c r="H221" s="13"/>
      <c r="I221" s="13"/>
      <c r="J221" s="13"/>
      <c r="K221" s="13"/>
    </row>
    <row r="222" spans="1:11">
      <c r="A222" s="133"/>
      <c r="B222" s="13"/>
      <c r="C222" s="13"/>
      <c r="D222" s="13"/>
      <c r="E222" s="13"/>
      <c r="F222" s="13"/>
      <c r="G222" s="13"/>
      <c r="H222" s="13"/>
      <c r="I222" s="13"/>
      <c r="J222" s="13"/>
      <c r="K222" s="13"/>
    </row>
    <row r="223" spans="1:11">
      <c r="A223" s="133"/>
      <c r="B223" s="13"/>
      <c r="C223" s="13"/>
      <c r="D223" s="13"/>
      <c r="E223" s="13"/>
      <c r="F223" s="13"/>
      <c r="G223" s="13"/>
      <c r="H223" s="13"/>
      <c r="I223" s="13"/>
      <c r="J223" s="13"/>
      <c r="K223" s="13"/>
    </row>
    <row r="224" spans="1:11">
      <c r="A224" s="133"/>
      <c r="B224" s="13"/>
      <c r="C224" s="13"/>
      <c r="D224" s="13"/>
      <c r="E224" s="13"/>
      <c r="F224" s="13"/>
      <c r="G224" s="13"/>
      <c r="H224" s="13"/>
      <c r="I224" s="13"/>
      <c r="J224" s="13"/>
      <c r="K224" s="13"/>
    </row>
    <row r="225" spans="1:11">
      <c r="A225" s="133"/>
      <c r="B225" s="13"/>
      <c r="C225" s="13"/>
      <c r="D225" s="13"/>
      <c r="E225" s="13"/>
      <c r="F225" s="13"/>
      <c r="G225" s="13"/>
      <c r="H225" s="13"/>
      <c r="I225" s="13"/>
      <c r="J225" s="13"/>
      <c r="K225" s="13"/>
    </row>
    <row r="226" spans="1:11">
      <c r="A226" s="133"/>
      <c r="B226" s="13"/>
      <c r="C226" s="13"/>
      <c r="D226" s="13"/>
      <c r="E226" s="13"/>
      <c r="F226" s="13"/>
      <c r="G226" s="13"/>
      <c r="H226" s="13"/>
      <c r="I226" s="13"/>
      <c r="J226" s="13"/>
      <c r="K226" s="13"/>
    </row>
    <row r="227" spans="1:11">
      <c r="A227" s="133"/>
      <c r="B227" s="13"/>
      <c r="C227" s="13"/>
      <c r="D227" s="13"/>
      <c r="E227" s="13"/>
      <c r="F227" s="13"/>
      <c r="G227" s="13"/>
      <c r="H227" s="13"/>
      <c r="I227" s="13"/>
      <c r="J227" s="13"/>
      <c r="K227" s="13"/>
    </row>
    <row r="228" spans="1:11">
      <c r="A228" s="133"/>
      <c r="B228" s="13"/>
      <c r="C228" s="13"/>
      <c r="D228" s="13"/>
      <c r="E228" s="13"/>
      <c r="F228" s="13"/>
      <c r="G228" s="13"/>
      <c r="H228" s="13"/>
      <c r="I228" s="13"/>
      <c r="J228" s="13"/>
      <c r="K228" s="13"/>
    </row>
    <row r="229" spans="1:11">
      <c r="A229" s="133"/>
      <c r="B229" s="13"/>
      <c r="C229" s="13"/>
      <c r="D229" s="13"/>
      <c r="E229" s="13"/>
      <c r="F229" s="13"/>
      <c r="G229" s="13"/>
      <c r="H229" s="13"/>
      <c r="I229" s="13"/>
      <c r="J229" s="13"/>
      <c r="K229" s="13"/>
    </row>
    <row r="230" spans="1:11">
      <c r="A230" s="133"/>
      <c r="B230" s="13"/>
      <c r="C230" s="13"/>
      <c r="D230" s="13"/>
      <c r="E230" s="13"/>
      <c r="F230" s="13"/>
      <c r="G230" s="13"/>
      <c r="H230" s="13"/>
      <c r="I230" s="13"/>
      <c r="J230" s="13"/>
      <c r="K230" s="13"/>
    </row>
    <row r="231" spans="1:11">
      <c r="A231" s="133"/>
      <c r="B231" s="13"/>
      <c r="C231" s="13"/>
      <c r="D231" s="13"/>
      <c r="E231" s="13"/>
      <c r="F231" s="13"/>
      <c r="G231" s="13"/>
      <c r="H231" s="13"/>
      <c r="I231" s="13"/>
      <c r="J231" s="13"/>
      <c r="K231" s="13"/>
    </row>
    <row r="232" spans="1:11">
      <c r="A232" s="133"/>
      <c r="B232" s="13"/>
      <c r="C232" s="13"/>
      <c r="D232" s="13"/>
      <c r="E232" s="13"/>
      <c r="F232" s="13"/>
      <c r="G232" s="13"/>
      <c r="H232" s="13"/>
      <c r="I232" s="13"/>
      <c r="J232" s="13"/>
      <c r="K232" s="13"/>
    </row>
    <row r="233" spans="1:11">
      <c r="A233" s="133"/>
      <c r="B233" s="13"/>
      <c r="C233" s="13"/>
      <c r="D233" s="13"/>
      <c r="E233" s="13"/>
      <c r="F233" s="13"/>
      <c r="G233" s="13"/>
      <c r="H233" s="13"/>
      <c r="I233" s="13"/>
      <c r="J233" s="13"/>
      <c r="K233" s="13"/>
    </row>
    <row r="234" spans="1:11">
      <c r="A234" s="133"/>
      <c r="B234" s="13"/>
      <c r="C234" s="13"/>
      <c r="D234" s="13"/>
      <c r="E234" s="13"/>
      <c r="F234" s="13"/>
      <c r="G234" s="13"/>
      <c r="H234" s="13"/>
      <c r="I234" s="13"/>
      <c r="J234" s="13"/>
      <c r="K234" s="13"/>
    </row>
    <row r="235" spans="1:11">
      <c r="A235" s="133"/>
      <c r="B235" s="13"/>
      <c r="C235" s="13"/>
      <c r="D235" s="13"/>
      <c r="E235" s="13"/>
      <c r="F235" s="13"/>
      <c r="G235" s="13"/>
      <c r="H235" s="13"/>
      <c r="I235" s="13"/>
      <c r="J235" s="13"/>
      <c r="K235" s="13"/>
    </row>
    <row r="236" spans="1:11">
      <c r="A236" s="133"/>
      <c r="B236" s="13"/>
      <c r="C236" s="13"/>
      <c r="D236" s="13"/>
      <c r="E236" s="13"/>
      <c r="F236" s="13"/>
      <c r="G236" s="13"/>
      <c r="H236" s="13"/>
      <c r="I236" s="13"/>
      <c r="J236" s="13"/>
      <c r="K236" s="13"/>
    </row>
    <row r="237" spans="1:11">
      <c r="A237" s="133"/>
      <c r="B237" s="13"/>
      <c r="C237" s="13"/>
      <c r="D237" s="13"/>
      <c r="E237" s="13"/>
      <c r="F237" s="13"/>
      <c r="G237" s="13"/>
      <c r="H237" s="13"/>
      <c r="I237" s="13"/>
      <c r="J237" s="13"/>
      <c r="K237" s="13"/>
    </row>
    <row r="238" spans="1:11">
      <c r="A238" s="133"/>
      <c r="B238" s="13"/>
      <c r="C238" s="13"/>
      <c r="D238" s="13"/>
      <c r="E238" s="13"/>
      <c r="F238" s="13"/>
      <c r="G238" s="13"/>
      <c r="H238" s="13"/>
      <c r="I238" s="13"/>
      <c r="J238" s="13"/>
      <c r="K238" s="13"/>
    </row>
    <row r="239" spans="1:11">
      <c r="A239" s="133"/>
      <c r="B239" s="13"/>
      <c r="C239" s="13"/>
      <c r="D239" s="13"/>
      <c r="E239" s="13"/>
      <c r="F239" s="13"/>
      <c r="G239" s="13"/>
      <c r="H239" s="13"/>
      <c r="I239" s="13"/>
      <c r="J239" s="13"/>
      <c r="K239" s="13"/>
    </row>
    <row r="240" spans="1:11">
      <c r="A240" s="133"/>
      <c r="B240" s="13"/>
      <c r="C240" s="13"/>
      <c r="D240" s="13"/>
      <c r="E240" s="13"/>
      <c r="F240" s="13"/>
      <c r="G240" s="13"/>
      <c r="H240" s="13"/>
      <c r="I240" s="13"/>
      <c r="J240" s="13"/>
      <c r="K240" s="13"/>
    </row>
    <row r="241" spans="1:11">
      <c r="A241" s="133"/>
      <c r="B241" s="13"/>
      <c r="C241" s="13"/>
      <c r="D241" s="13"/>
      <c r="E241" s="13"/>
      <c r="F241" s="13"/>
      <c r="G241" s="13"/>
      <c r="H241" s="13"/>
      <c r="I241" s="13"/>
      <c r="J241" s="13"/>
      <c r="K241" s="13"/>
    </row>
    <row r="242" spans="1:11">
      <c r="A242" s="133"/>
      <c r="B242" s="13"/>
      <c r="C242" s="13"/>
      <c r="D242" s="13"/>
      <c r="E242" s="13"/>
      <c r="F242" s="13"/>
      <c r="G242" s="13"/>
      <c r="H242" s="13"/>
      <c r="I242" s="13"/>
      <c r="J242" s="13"/>
      <c r="K242" s="13"/>
    </row>
    <row r="243" spans="1:11">
      <c r="A243" s="133"/>
      <c r="B243" s="13"/>
      <c r="C243" s="13"/>
      <c r="D243" s="13"/>
      <c r="E243" s="13"/>
      <c r="F243" s="13"/>
      <c r="G243" s="13"/>
      <c r="H243" s="13"/>
      <c r="I243" s="13"/>
      <c r="J243" s="13"/>
      <c r="K243" s="13"/>
    </row>
    <row r="244" spans="1:11">
      <c r="A244" s="133"/>
      <c r="B244" s="13"/>
      <c r="C244" s="13"/>
      <c r="D244" s="13"/>
      <c r="E244" s="13"/>
      <c r="F244" s="13"/>
      <c r="G244" s="13"/>
      <c r="H244" s="13"/>
      <c r="I244" s="13"/>
      <c r="J244" s="13"/>
      <c r="K244" s="13"/>
    </row>
    <row r="245" spans="1:11">
      <c r="A245" s="133"/>
      <c r="B245" s="13"/>
      <c r="C245" s="13"/>
      <c r="D245" s="13"/>
      <c r="E245" s="13"/>
      <c r="F245" s="13"/>
      <c r="G245" s="13"/>
      <c r="H245" s="13"/>
      <c r="I245" s="13"/>
      <c r="J245" s="13"/>
      <c r="K245" s="13"/>
    </row>
    <row r="246" spans="1:11">
      <c r="A246" s="133"/>
      <c r="B246" s="13"/>
      <c r="C246" s="13"/>
      <c r="D246" s="13"/>
      <c r="E246" s="13"/>
      <c r="F246" s="13"/>
      <c r="G246" s="13"/>
      <c r="H246" s="13"/>
      <c r="I246" s="13"/>
      <c r="J246" s="13"/>
      <c r="K246" s="13"/>
    </row>
    <row r="247" spans="1:11">
      <c r="A247" s="133"/>
      <c r="B247" s="13"/>
      <c r="C247" s="13"/>
      <c r="D247" s="13"/>
      <c r="E247" s="13"/>
      <c r="F247" s="13"/>
      <c r="G247" s="13"/>
      <c r="H247" s="13"/>
      <c r="I247" s="13"/>
      <c r="J247" s="13"/>
      <c r="K247" s="13"/>
    </row>
    <row r="248" spans="1:11">
      <c r="A248" s="133"/>
      <c r="B248" s="13"/>
      <c r="C248" s="13"/>
      <c r="D248" s="13"/>
      <c r="E248" s="13"/>
      <c r="F248" s="13"/>
      <c r="G248" s="13"/>
      <c r="H248" s="13"/>
      <c r="I248" s="13"/>
      <c r="J248" s="13"/>
      <c r="K248" s="13"/>
    </row>
    <row r="249" spans="1:11">
      <c r="A249" s="133"/>
      <c r="B249" s="13"/>
      <c r="C249" s="13"/>
      <c r="D249" s="13"/>
      <c r="E249" s="13"/>
      <c r="F249" s="13"/>
      <c r="G249" s="13"/>
      <c r="H249" s="13"/>
      <c r="I249" s="13"/>
      <c r="J249" s="13"/>
      <c r="K249" s="13"/>
    </row>
    <row r="250" spans="1:11">
      <c r="A250" s="133"/>
      <c r="B250" s="13"/>
      <c r="C250" s="13"/>
      <c r="D250" s="13"/>
      <c r="E250" s="13"/>
      <c r="F250" s="13"/>
      <c r="G250" s="13"/>
      <c r="H250" s="13"/>
      <c r="I250" s="13"/>
      <c r="J250" s="13"/>
      <c r="K250" s="13"/>
    </row>
    <row r="251" spans="1:11">
      <c r="A251" s="133"/>
      <c r="B251" s="13"/>
      <c r="C251" s="13"/>
      <c r="D251" s="13"/>
      <c r="E251" s="13"/>
      <c r="F251" s="13"/>
      <c r="G251" s="13"/>
      <c r="H251" s="13"/>
      <c r="I251" s="13"/>
      <c r="J251" s="13"/>
      <c r="K251" s="13"/>
    </row>
    <row r="252" spans="1:11">
      <c r="A252" s="133"/>
      <c r="B252" s="13"/>
      <c r="C252" s="13"/>
      <c r="D252" s="13"/>
      <c r="E252" s="13"/>
      <c r="F252" s="13"/>
      <c r="G252" s="13"/>
      <c r="H252" s="13"/>
      <c r="I252" s="13"/>
      <c r="J252" s="13"/>
      <c r="K252" s="13"/>
    </row>
    <row r="253" spans="1:11">
      <c r="A253" s="133"/>
      <c r="B253" s="13"/>
      <c r="C253" s="13"/>
      <c r="D253" s="13"/>
      <c r="E253" s="13"/>
      <c r="F253" s="13"/>
      <c r="G253" s="13"/>
      <c r="H253" s="13"/>
      <c r="I253" s="13"/>
      <c r="J253" s="13"/>
      <c r="K253" s="13"/>
    </row>
    <row r="254" spans="1:11">
      <c r="A254" s="133"/>
      <c r="B254" s="13"/>
      <c r="C254" s="13"/>
      <c r="D254" s="13"/>
      <c r="E254" s="13"/>
      <c r="F254" s="13"/>
      <c r="G254" s="13"/>
      <c r="H254" s="13"/>
      <c r="I254" s="13"/>
      <c r="J254" s="13"/>
      <c r="K254" s="13"/>
    </row>
    <row r="255" spans="1:11">
      <c r="A255" s="133"/>
      <c r="B255" s="13"/>
      <c r="C255" s="13"/>
      <c r="D255" s="13"/>
      <c r="E255" s="13"/>
      <c r="F255" s="13"/>
      <c r="G255" s="13"/>
      <c r="H255" s="13"/>
      <c r="I255" s="13"/>
      <c r="J255" s="13"/>
      <c r="K255" s="13"/>
    </row>
    <row r="256" spans="1:11">
      <c r="A256" s="133"/>
      <c r="B256" s="13"/>
      <c r="C256" s="13"/>
      <c r="D256" s="13"/>
      <c r="E256" s="13"/>
      <c r="F256" s="13"/>
      <c r="G256" s="13"/>
      <c r="H256" s="13"/>
      <c r="I256" s="13"/>
      <c r="J256" s="13"/>
      <c r="K256" s="13"/>
    </row>
    <row r="257" spans="1:11">
      <c r="A257" s="133"/>
      <c r="B257" s="13"/>
      <c r="C257" s="13"/>
      <c r="D257" s="13"/>
      <c r="E257" s="13"/>
      <c r="F257" s="13"/>
      <c r="G257" s="13"/>
      <c r="H257" s="13"/>
      <c r="I257" s="13"/>
      <c r="J257" s="13"/>
      <c r="K257" s="13"/>
    </row>
    <row r="258" spans="1:11">
      <c r="A258" s="133"/>
      <c r="B258" s="13"/>
      <c r="C258" s="13"/>
      <c r="D258" s="13"/>
      <c r="E258" s="13"/>
      <c r="F258" s="13"/>
      <c r="G258" s="13"/>
      <c r="H258" s="13"/>
      <c r="I258" s="13"/>
      <c r="J258" s="13"/>
      <c r="K258" s="13"/>
    </row>
    <row r="259" spans="1:11">
      <c r="A259" s="133"/>
      <c r="B259" s="13"/>
      <c r="C259" s="13"/>
      <c r="D259" s="13"/>
      <c r="E259" s="13"/>
      <c r="F259" s="13"/>
      <c r="G259" s="13"/>
      <c r="H259" s="13"/>
      <c r="I259" s="13"/>
      <c r="J259" s="13"/>
      <c r="K259" s="13"/>
    </row>
    <row r="260" spans="1:11">
      <c r="A260" s="133"/>
      <c r="B260" s="13"/>
      <c r="C260" s="13"/>
      <c r="D260" s="13"/>
      <c r="E260" s="13"/>
      <c r="F260" s="13"/>
      <c r="G260" s="13"/>
      <c r="H260" s="13"/>
      <c r="I260" s="13"/>
      <c r="J260" s="13"/>
      <c r="K260" s="13"/>
    </row>
    <row r="261" spans="1:11">
      <c r="A261" s="133"/>
      <c r="B261" s="13"/>
      <c r="C261" s="13"/>
      <c r="D261" s="13"/>
      <c r="E261" s="13"/>
      <c r="F261" s="13"/>
      <c r="G261" s="13"/>
      <c r="H261" s="13"/>
      <c r="I261" s="13"/>
      <c r="J261" s="13"/>
      <c r="K261" s="13"/>
    </row>
    <row r="262" spans="1:11">
      <c r="A262" s="133"/>
      <c r="B262" s="13"/>
      <c r="C262" s="13"/>
      <c r="D262" s="13"/>
      <c r="E262" s="13"/>
      <c r="F262" s="13"/>
      <c r="G262" s="13"/>
      <c r="H262" s="13"/>
      <c r="I262" s="13"/>
      <c r="J262" s="13"/>
      <c r="K262" s="13"/>
    </row>
    <row r="263" spans="1:11">
      <c r="A263" s="133"/>
      <c r="B263" s="13"/>
      <c r="C263" s="13"/>
      <c r="D263" s="13"/>
      <c r="E263" s="13"/>
      <c r="F263" s="13"/>
      <c r="G263" s="13"/>
      <c r="H263" s="13"/>
      <c r="I263" s="13"/>
      <c r="J263" s="13"/>
      <c r="K263" s="13"/>
    </row>
    <row r="264" spans="1:11">
      <c r="A264" s="133"/>
      <c r="B264" s="13"/>
      <c r="C264" s="13"/>
      <c r="D264" s="13"/>
      <c r="E264" s="13"/>
      <c r="F264" s="13"/>
      <c r="G264" s="13"/>
      <c r="H264" s="13"/>
      <c r="I264" s="13"/>
      <c r="J264" s="13"/>
      <c r="K264" s="13"/>
    </row>
    <row r="265" spans="1:11">
      <c r="A265" s="133"/>
      <c r="B265" s="13"/>
      <c r="C265" s="13"/>
      <c r="D265" s="13"/>
      <c r="E265" s="13"/>
      <c r="F265" s="13"/>
      <c r="G265" s="13"/>
      <c r="H265" s="13"/>
      <c r="I265" s="13"/>
      <c r="J265" s="13"/>
      <c r="K265" s="13"/>
    </row>
    <row r="266" spans="1:11">
      <c r="A266" s="133"/>
      <c r="B266" s="13"/>
      <c r="C266" s="13"/>
      <c r="D266" s="13"/>
      <c r="E266" s="13"/>
      <c r="F266" s="13"/>
      <c r="G266" s="13"/>
      <c r="H266" s="13"/>
      <c r="I266" s="13"/>
      <c r="J266" s="13"/>
      <c r="K266" s="13"/>
    </row>
    <row r="267" spans="1:11">
      <c r="A267" s="133"/>
      <c r="B267" s="13"/>
      <c r="C267" s="13"/>
      <c r="D267" s="13"/>
      <c r="E267" s="13"/>
      <c r="F267" s="13"/>
      <c r="G267" s="13"/>
      <c r="H267" s="13"/>
      <c r="I267" s="13"/>
      <c r="J267" s="13"/>
      <c r="K267" s="13"/>
    </row>
    <row r="268" spans="1:11">
      <c r="A268" s="133"/>
      <c r="B268" s="13"/>
      <c r="C268" s="13"/>
      <c r="D268" s="13"/>
      <c r="E268" s="13"/>
      <c r="F268" s="13"/>
      <c r="G268" s="13"/>
      <c r="H268" s="13"/>
      <c r="I268" s="13"/>
      <c r="J268" s="13"/>
      <c r="K268" s="13"/>
    </row>
    <row r="269" spans="1:11">
      <c r="A269" s="133"/>
      <c r="B269" s="13"/>
      <c r="C269" s="13"/>
      <c r="D269" s="13"/>
      <c r="E269" s="13"/>
      <c r="F269" s="13"/>
      <c r="G269" s="13"/>
      <c r="H269" s="13"/>
      <c r="I269" s="13"/>
      <c r="J269" s="13"/>
      <c r="K269" s="13"/>
    </row>
    <row r="270" spans="1:11">
      <c r="A270" s="133"/>
      <c r="B270" s="13"/>
      <c r="C270" s="13"/>
      <c r="D270" s="13"/>
      <c r="E270" s="13"/>
      <c r="F270" s="13"/>
      <c r="G270" s="13"/>
      <c r="H270" s="13"/>
      <c r="I270" s="13"/>
      <c r="J270" s="13"/>
      <c r="K270" s="13"/>
    </row>
    <row r="271" spans="1:11">
      <c r="A271" s="133"/>
      <c r="B271" s="13"/>
      <c r="C271" s="13"/>
      <c r="D271" s="13"/>
      <c r="E271" s="13"/>
      <c r="F271" s="13"/>
      <c r="G271" s="13"/>
      <c r="H271" s="13"/>
      <c r="I271" s="13"/>
      <c r="J271" s="13"/>
      <c r="K271" s="13"/>
    </row>
    <row r="272" spans="1:11">
      <c r="A272" s="133"/>
      <c r="B272" s="13"/>
      <c r="C272" s="13"/>
      <c r="D272" s="13"/>
      <c r="E272" s="13"/>
      <c r="F272" s="13"/>
      <c r="G272" s="13"/>
      <c r="H272" s="13"/>
      <c r="I272" s="13"/>
      <c r="J272" s="13"/>
      <c r="K272" s="13"/>
    </row>
    <row r="273" spans="1:11">
      <c r="A273" s="133"/>
      <c r="B273" s="13"/>
      <c r="C273" s="13"/>
      <c r="D273" s="13"/>
      <c r="E273" s="13"/>
      <c r="F273" s="13"/>
      <c r="G273" s="13"/>
      <c r="H273" s="13"/>
      <c r="I273" s="13"/>
      <c r="J273" s="13"/>
      <c r="K273" s="13"/>
    </row>
    <row r="274" spans="1:11">
      <c r="A274" s="133"/>
      <c r="B274" s="13"/>
      <c r="C274" s="13"/>
      <c r="D274" s="13"/>
      <c r="E274" s="13"/>
      <c r="F274" s="13"/>
      <c r="G274" s="13"/>
      <c r="H274" s="13"/>
      <c r="I274" s="13"/>
      <c r="J274" s="13"/>
      <c r="K274" s="13"/>
    </row>
    <row r="275" spans="1:11">
      <c r="A275" s="133"/>
      <c r="B275" s="13"/>
      <c r="C275" s="13"/>
      <c r="D275" s="13"/>
      <c r="E275" s="13"/>
      <c r="F275" s="13"/>
      <c r="G275" s="13"/>
      <c r="H275" s="13"/>
      <c r="I275" s="13"/>
      <c r="J275" s="13"/>
      <c r="K275" s="13"/>
    </row>
    <row r="276" spans="1:11">
      <c r="A276" s="133"/>
      <c r="B276" s="13"/>
      <c r="C276" s="13"/>
      <c r="D276" s="13"/>
      <c r="E276" s="13"/>
      <c r="F276" s="13"/>
      <c r="G276" s="13"/>
      <c r="H276" s="13"/>
      <c r="I276" s="13"/>
      <c r="J276" s="13"/>
      <c r="K276" s="13"/>
    </row>
    <row r="277" spans="1:11">
      <c r="A277" s="133"/>
      <c r="B277" s="13"/>
      <c r="C277" s="13"/>
      <c r="D277" s="13"/>
      <c r="E277" s="13"/>
      <c r="F277" s="13"/>
      <c r="G277" s="13"/>
      <c r="H277" s="13"/>
      <c r="I277" s="13"/>
      <c r="J277" s="13"/>
      <c r="K277" s="13"/>
    </row>
    <row r="278" spans="1:11">
      <c r="A278" s="133"/>
      <c r="B278" s="13"/>
      <c r="C278" s="13"/>
      <c r="D278" s="13"/>
      <c r="E278" s="13"/>
      <c r="F278" s="13"/>
      <c r="G278" s="13"/>
      <c r="H278" s="13"/>
      <c r="I278" s="13"/>
      <c r="J278" s="13"/>
      <c r="K278" s="13"/>
    </row>
    <row r="279" spans="1:11">
      <c r="A279" s="133"/>
      <c r="B279" s="13"/>
      <c r="C279" s="13"/>
      <c r="D279" s="13"/>
      <c r="E279" s="13"/>
      <c r="F279" s="13"/>
      <c r="G279" s="13"/>
      <c r="H279" s="13"/>
      <c r="I279" s="13"/>
      <c r="J279" s="13"/>
      <c r="K279" s="13"/>
    </row>
    <row r="280" spans="1:11">
      <c r="A280" s="133"/>
      <c r="B280" s="13"/>
      <c r="C280" s="13"/>
      <c r="D280" s="13"/>
      <c r="E280" s="13"/>
      <c r="F280" s="13"/>
      <c r="G280" s="13"/>
      <c r="H280" s="13"/>
      <c r="I280" s="13"/>
      <c r="J280" s="13"/>
      <c r="K280" s="13"/>
    </row>
    <row r="281" spans="1:11">
      <c r="A281" s="133"/>
      <c r="B281" s="13"/>
      <c r="C281" s="13"/>
      <c r="D281" s="13"/>
      <c r="E281" s="13"/>
      <c r="F281" s="13"/>
      <c r="G281" s="13"/>
      <c r="H281" s="13"/>
      <c r="I281" s="13"/>
      <c r="J281" s="13"/>
      <c r="K281" s="13"/>
    </row>
    <row r="282" spans="1:11">
      <c r="A282" s="133"/>
      <c r="B282" s="13"/>
      <c r="C282" s="13"/>
      <c r="D282" s="13"/>
      <c r="E282" s="13"/>
      <c r="F282" s="13"/>
      <c r="G282" s="13"/>
      <c r="H282" s="13"/>
      <c r="I282" s="13"/>
      <c r="J282" s="13"/>
      <c r="K282" s="13"/>
    </row>
    <row r="283" spans="1:11">
      <c r="A283" s="133"/>
      <c r="B283" s="13"/>
      <c r="C283" s="13"/>
      <c r="D283" s="13"/>
      <c r="E283" s="13"/>
      <c r="F283" s="13"/>
      <c r="G283" s="13"/>
      <c r="H283" s="13"/>
      <c r="I283" s="13"/>
      <c r="J283" s="13"/>
      <c r="K283" s="13"/>
    </row>
    <row r="284" spans="1:11">
      <c r="A284" s="133"/>
      <c r="B284" s="13"/>
      <c r="C284" s="13"/>
      <c r="D284" s="13"/>
      <c r="E284" s="13"/>
      <c r="F284" s="13"/>
      <c r="G284" s="13"/>
      <c r="H284" s="13"/>
      <c r="I284" s="13"/>
      <c r="J284" s="13"/>
      <c r="K284" s="13"/>
    </row>
    <row r="285" spans="1:11">
      <c r="A285" s="133"/>
      <c r="B285" s="13"/>
      <c r="C285" s="13"/>
      <c r="D285" s="13"/>
      <c r="E285" s="13"/>
      <c r="F285" s="13"/>
      <c r="G285" s="13"/>
      <c r="H285" s="13"/>
      <c r="I285" s="13"/>
      <c r="J285" s="13"/>
      <c r="K285" s="13"/>
    </row>
    <row r="286" spans="1:11">
      <c r="A286" s="133"/>
      <c r="B286" s="13"/>
      <c r="C286" s="13"/>
      <c r="D286" s="13"/>
      <c r="E286" s="13"/>
      <c r="F286" s="13"/>
      <c r="G286" s="13"/>
      <c r="H286" s="13"/>
      <c r="I286" s="13"/>
      <c r="J286" s="13"/>
      <c r="K286" s="13"/>
    </row>
    <row r="287" spans="1:11">
      <c r="A287" s="133"/>
      <c r="B287" s="13"/>
      <c r="C287" s="13"/>
      <c r="D287" s="13"/>
      <c r="E287" s="13"/>
      <c r="F287" s="13"/>
      <c r="G287" s="13"/>
      <c r="H287" s="13"/>
      <c r="I287" s="13"/>
      <c r="J287" s="13"/>
      <c r="K287" s="13"/>
    </row>
    <row r="288" spans="1:11">
      <c r="A288" s="133"/>
      <c r="B288" s="13"/>
      <c r="C288" s="13"/>
      <c r="D288" s="13"/>
      <c r="E288" s="13"/>
      <c r="F288" s="13"/>
      <c r="G288" s="13"/>
      <c r="H288" s="13"/>
      <c r="I288" s="13"/>
      <c r="J288" s="13"/>
      <c r="K288" s="13"/>
    </row>
    <row r="289" spans="1:11">
      <c r="A289" s="133"/>
      <c r="B289" s="13"/>
      <c r="C289" s="13"/>
      <c r="D289" s="13"/>
      <c r="E289" s="13"/>
      <c r="F289" s="13"/>
      <c r="G289" s="13"/>
      <c r="H289" s="13"/>
      <c r="I289" s="13"/>
      <c r="J289" s="13"/>
      <c r="K289" s="13"/>
    </row>
    <row r="290" spans="1:11">
      <c r="A290" s="133"/>
      <c r="B290" s="13"/>
      <c r="C290" s="13"/>
      <c r="D290" s="13"/>
      <c r="E290" s="13"/>
      <c r="F290" s="13"/>
      <c r="G290" s="13"/>
      <c r="H290" s="13"/>
      <c r="I290" s="13"/>
      <c r="J290" s="13"/>
      <c r="K290" s="13"/>
    </row>
    <row r="291" spans="1:11">
      <c r="A291" s="133"/>
      <c r="B291" s="13"/>
      <c r="C291" s="13"/>
      <c r="D291" s="13"/>
      <c r="E291" s="13"/>
      <c r="F291" s="13"/>
      <c r="G291" s="13"/>
      <c r="H291" s="13"/>
      <c r="I291" s="13"/>
      <c r="J291" s="13"/>
      <c r="K291" s="13"/>
    </row>
    <row r="292" spans="1:11">
      <c r="A292" s="133"/>
      <c r="B292" s="13"/>
      <c r="C292" s="13"/>
      <c r="D292" s="13"/>
      <c r="E292" s="13"/>
      <c r="F292" s="13"/>
      <c r="G292" s="13"/>
      <c r="H292" s="13"/>
      <c r="I292" s="13"/>
      <c r="J292" s="13"/>
      <c r="K292" s="13"/>
    </row>
    <row r="293" spans="1:11">
      <c r="A293" s="133"/>
      <c r="B293" s="13"/>
      <c r="C293" s="13"/>
      <c r="D293" s="13"/>
      <c r="E293" s="13"/>
      <c r="F293" s="13"/>
      <c r="G293" s="13"/>
      <c r="H293" s="13"/>
      <c r="I293" s="13"/>
      <c r="J293" s="13"/>
      <c r="K293" s="13"/>
    </row>
    <row r="294" spans="1:11">
      <c r="A294" s="133"/>
      <c r="B294" s="13"/>
      <c r="C294" s="13"/>
      <c r="D294" s="13"/>
      <c r="E294" s="13"/>
      <c r="F294" s="13"/>
      <c r="G294" s="13"/>
      <c r="H294" s="13"/>
      <c r="I294" s="13"/>
      <c r="J294" s="13"/>
      <c r="K294" s="13"/>
    </row>
    <row r="295" spans="1:11">
      <c r="A295" s="133"/>
      <c r="B295" s="13"/>
      <c r="C295" s="13"/>
      <c r="D295" s="13"/>
      <c r="E295" s="13"/>
      <c r="F295" s="13"/>
      <c r="G295" s="13"/>
      <c r="H295" s="13"/>
      <c r="I295" s="13"/>
      <c r="J295" s="13"/>
      <c r="K295" s="13"/>
    </row>
    <row r="296" spans="1:11">
      <c r="A296" s="133"/>
      <c r="B296" s="13"/>
      <c r="C296" s="13"/>
      <c r="D296" s="13"/>
      <c r="E296" s="13"/>
      <c r="F296" s="13"/>
      <c r="G296" s="13"/>
      <c r="H296" s="13"/>
      <c r="I296" s="13"/>
      <c r="J296" s="13"/>
      <c r="K296" s="13"/>
    </row>
    <row r="297" spans="1:11">
      <c r="A297" s="133"/>
      <c r="B297" s="13"/>
      <c r="C297" s="13"/>
      <c r="D297" s="13"/>
      <c r="E297" s="13"/>
      <c r="F297" s="13"/>
      <c r="G297" s="13"/>
      <c r="H297" s="13"/>
      <c r="I297" s="13"/>
      <c r="J297" s="13"/>
      <c r="K297" s="13"/>
    </row>
    <row r="298" spans="1:11">
      <c r="A298" s="133"/>
      <c r="B298" s="13"/>
      <c r="C298" s="13"/>
      <c r="D298" s="13"/>
      <c r="E298" s="13"/>
      <c r="F298" s="13"/>
      <c r="G298" s="13"/>
      <c r="H298" s="13"/>
      <c r="I298" s="13"/>
      <c r="J298" s="13"/>
      <c r="K298" s="13"/>
    </row>
    <row r="299" spans="1:11">
      <c r="A299" s="133"/>
      <c r="B299" s="13"/>
      <c r="C299" s="13"/>
      <c r="D299" s="13"/>
      <c r="E299" s="13"/>
      <c r="F299" s="13"/>
      <c r="G299" s="13"/>
      <c r="H299" s="13"/>
      <c r="I299" s="13"/>
      <c r="J299" s="13"/>
      <c r="K299" s="13"/>
    </row>
    <row r="300" spans="1:11">
      <c r="A300" s="133"/>
      <c r="B300" s="13"/>
      <c r="C300" s="13"/>
      <c r="D300" s="13"/>
      <c r="E300" s="13"/>
      <c r="F300" s="13"/>
      <c r="G300" s="13"/>
      <c r="H300" s="13"/>
      <c r="I300" s="13"/>
      <c r="J300" s="13"/>
      <c r="K300" s="13"/>
    </row>
    <row r="301" spans="1:11">
      <c r="A301" s="133"/>
      <c r="B301" s="13"/>
      <c r="C301" s="13"/>
      <c r="D301" s="13"/>
      <c r="E301" s="13"/>
      <c r="F301" s="13"/>
      <c r="G301" s="13"/>
      <c r="H301" s="13"/>
      <c r="I301" s="13"/>
      <c r="J301" s="13"/>
      <c r="K301" s="13"/>
    </row>
    <row r="302" spans="1:11">
      <c r="A302" s="133"/>
      <c r="B302" s="13"/>
      <c r="C302" s="13"/>
      <c r="D302" s="13"/>
      <c r="E302" s="13"/>
      <c r="F302" s="13"/>
      <c r="G302" s="13"/>
      <c r="H302" s="13"/>
      <c r="I302" s="13"/>
      <c r="J302" s="13"/>
      <c r="K302" s="13"/>
    </row>
    <row r="303" spans="1:11">
      <c r="A303" s="133"/>
      <c r="B303" s="13"/>
      <c r="C303" s="13"/>
      <c r="D303" s="13"/>
      <c r="E303" s="13"/>
      <c r="F303" s="13"/>
      <c r="G303" s="13"/>
      <c r="H303" s="13"/>
      <c r="I303" s="13"/>
      <c r="J303" s="13"/>
      <c r="K303" s="13"/>
    </row>
    <row r="304" spans="1:11">
      <c r="A304" s="133"/>
      <c r="B304" s="13"/>
      <c r="C304" s="13"/>
      <c r="D304" s="13"/>
      <c r="E304" s="13"/>
      <c r="F304" s="13"/>
      <c r="G304" s="13"/>
      <c r="H304" s="13"/>
      <c r="I304" s="13"/>
      <c r="J304" s="13"/>
      <c r="K304" s="13"/>
    </row>
    <row r="305" spans="1:11">
      <c r="A305" s="133"/>
      <c r="B305" s="13"/>
      <c r="C305" s="13"/>
      <c r="D305" s="13"/>
      <c r="E305" s="13"/>
      <c r="F305" s="13"/>
      <c r="G305" s="13"/>
      <c r="H305" s="13"/>
      <c r="I305" s="13"/>
      <c r="J305" s="13"/>
      <c r="K305" s="13"/>
    </row>
    <row r="306" spans="1:11">
      <c r="A306" s="133"/>
      <c r="B306" s="13"/>
      <c r="C306" s="13"/>
      <c r="D306" s="13"/>
      <c r="E306" s="13"/>
      <c r="F306" s="13"/>
      <c r="G306" s="13"/>
      <c r="H306" s="13"/>
      <c r="I306" s="13"/>
      <c r="J306" s="13"/>
      <c r="K306" s="13"/>
    </row>
    <row r="307" spans="1:11">
      <c r="A307" s="133"/>
      <c r="B307" s="13"/>
      <c r="C307" s="13"/>
      <c r="D307" s="13"/>
      <c r="E307" s="13"/>
      <c r="F307" s="13"/>
      <c r="G307" s="13"/>
      <c r="H307" s="13"/>
      <c r="I307" s="13"/>
      <c r="J307" s="13"/>
      <c r="K307" s="13"/>
    </row>
    <row r="308" spans="1:11">
      <c r="A308" s="133"/>
      <c r="B308" s="13"/>
      <c r="C308" s="13"/>
      <c r="D308" s="13"/>
      <c r="E308" s="13"/>
      <c r="F308" s="13"/>
      <c r="G308" s="13"/>
      <c r="H308" s="13"/>
      <c r="I308" s="13"/>
      <c r="J308" s="13"/>
      <c r="K308" s="13"/>
    </row>
    <row r="309" spans="1:11">
      <c r="A309" s="133"/>
      <c r="B309" s="13"/>
      <c r="C309" s="13"/>
      <c r="D309" s="13"/>
      <c r="E309" s="13"/>
      <c r="F309" s="13"/>
      <c r="G309" s="13"/>
      <c r="H309" s="13"/>
      <c r="I309" s="13"/>
      <c r="J309" s="13"/>
      <c r="K309" s="13"/>
    </row>
    <row r="310" spans="1:11">
      <c r="A310" s="133"/>
      <c r="B310" s="13"/>
      <c r="C310" s="13"/>
      <c r="D310" s="13"/>
      <c r="E310" s="13"/>
      <c r="F310" s="13"/>
      <c r="G310" s="13"/>
      <c r="H310" s="13"/>
      <c r="I310" s="13"/>
      <c r="J310" s="13"/>
      <c r="K310" s="13"/>
    </row>
    <row r="311" spans="1:11">
      <c r="A311" s="133"/>
      <c r="B311" s="13"/>
      <c r="C311" s="13"/>
      <c r="D311" s="13"/>
      <c r="E311" s="13"/>
      <c r="F311" s="13"/>
      <c r="G311" s="13"/>
      <c r="H311" s="13"/>
      <c r="I311" s="13"/>
      <c r="J311" s="13"/>
      <c r="K311" s="13"/>
    </row>
    <row r="312" spans="1:11">
      <c r="A312" s="133"/>
      <c r="B312" s="13"/>
      <c r="C312" s="13"/>
      <c r="D312" s="13"/>
      <c r="E312" s="13"/>
      <c r="F312" s="13"/>
      <c r="G312" s="13"/>
      <c r="H312" s="13"/>
      <c r="I312" s="13"/>
      <c r="J312" s="13"/>
      <c r="K312" s="13"/>
    </row>
    <row r="313" spans="1:11">
      <c r="A313" s="133"/>
      <c r="B313" s="13"/>
      <c r="C313" s="13"/>
      <c r="D313" s="13"/>
      <c r="E313" s="13"/>
      <c r="F313" s="13"/>
      <c r="G313" s="13"/>
      <c r="H313" s="13"/>
      <c r="I313" s="13"/>
      <c r="J313" s="13"/>
      <c r="K313" s="13"/>
    </row>
    <row r="314" spans="1:11">
      <c r="A314" s="133"/>
      <c r="B314" s="13"/>
      <c r="C314" s="13"/>
      <c r="D314" s="13"/>
      <c r="E314" s="13"/>
      <c r="F314" s="13"/>
      <c r="G314" s="13"/>
      <c r="H314" s="13"/>
      <c r="I314" s="13"/>
      <c r="J314" s="13"/>
      <c r="K314" s="13"/>
    </row>
    <row r="315" spans="1:11">
      <c r="A315" s="133"/>
      <c r="B315" s="13"/>
      <c r="C315" s="13"/>
      <c r="D315" s="13"/>
      <c r="E315" s="13"/>
      <c r="F315" s="13"/>
      <c r="G315" s="13"/>
      <c r="H315" s="13"/>
      <c r="I315" s="13"/>
      <c r="J315" s="13"/>
      <c r="K315" s="13"/>
    </row>
    <row r="316" spans="1:11">
      <c r="A316" s="133"/>
      <c r="B316" s="13"/>
      <c r="C316" s="13"/>
      <c r="D316" s="13"/>
      <c r="E316" s="13"/>
      <c r="F316" s="13"/>
      <c r="G316" s="13"/>
      <c r="H316" s="13"/>
      <c r="I316" s="13"/>
      <c r="J316" s="13"/>
      <c r="K316" s="13"/>
    </row>
    <row r="317" spans="1:11">
      <c r="A317" s="133"/>
      <c r="B317" s="13"/>
      <c r="C317" s="13"/>
      <c r="D317" s="13"/>
      <c r="E317" s="13"/>
      <c r="F317" s="13"/>
      <c r="G317" s="13"/>
      <c r="H317" s="13"/>
      <c r="I317" s="13"/>
      <c r="J317" s="13"/>
      <c r="K317" s="13"/>
    </row>
    <row r="318" spans="1:11">
      <c r="A318" s="133"/>
      <c r="B318" s="13"/>
      <c r="C318" s="13"/>
      <c r="D318" s="13"/>
      <c r="E318" s="13"/>
      <c r="F318" s="13"/>
      <c r="G318" s="13"/>
      <c r="H318" s="13"/>
      <c r="I318" s="13"/>
      <c r="J318" s="13"/>
      <c r="K318" s="13"/>
    </row>
    <row r="319" spans="1:11">
      <c r="A319" s="133"/>
      <c r="B319" s="13"/>
      <c r="C319" s="13"/>
      <c r="D319" s="13"/>
      <c r="E319" s="13"/>
      <c r="F319" s="13"/>
      <c r="G319" s="13"/>
      <c r="H319" s="13"/>
      <c r="I319" s="13"/>
      <c r="J319" s="13"/>
      <c r="K319" s="13"/>
    </row>
    <row r="320" spans="1:11">
      <c r="A320" s="133"/>
      <c r="B320" s="13"/>
      <c r="C320" s="13"/>
      <c r="D320" s="13"/>
      <c r="E320" s="13"/>
      <c r="F320" s="13"/>
      <c r="G320" s="13"/>
      <c r="H320" s="13"/>
      <c r="I320" s="13"/>
      <c r="J320" s="13"/>
      <c r="K320" s="13"/>
    </row>
    <row r="321" spans="1:11">
      <c r="A321" s="133"/>
      <c r="B321" s="13"/>
      <c r="C321" s="13"/>
      <c r="D321" s="13"/>
      <c r="E321" s="13"/>
      <c r="F321" s="13"/>
      <c r="G321" s="13"/>
      <c r="H321" s="13"/>
      <c r="I321" s="13"/>
      <c r="J321" s="13"/>
      <c r="K321" s="13"/>
    </row>
    <row r="322" spans="1:11">
      <c r="A322" s="133"/>
      <c r="B322" s="13"/>
      <c r="C322" s="13"/>
      <c r="D322" s="13"/>
      <c r="E322" s="13"/>
      <c r="F322" s="13"/>
      <c r="G322" s="13"/>
      <c r="H322" s="13"/>
      <c r="I322" s="13"/>
      <c r="J322" s="13"/>
      <c r="K322" s="13"/>
    </row>
    <row r="323" spans="1:11">
      <c r="A323" s="133"/>
      <c r="B323" s="13"/>
      <c r="C323" s="13"/>
      <c r="D323" s="13"/>
      <c r="E323" s="13"/>
      <c r="F323" s="13"/>
      <c r="G323" s="13"/>
      <c r="H323" s="13"/>
      <c r="I323" s="13"/>
      <c r="J323" s="13"/>
      <c r="K323" s="13"/>
    </row>
    <row r="324" spans="1:11">
      <c r="A324" s="133"/>
      <c r="B324" s="13"/>
      <c r="C324" s="13"/>
      <c r="D324" s="13"/>
      <c r="E324" s="13"/>
      <c r="F324" s="13"/>
      <c r="G324" s="13"/>
      <c r="H324" s="13"/>
      <c r="I324" s="13"/>
      <c r="J324" s="13"/>
      <c r="K324" s="13"/>
    </row>
    <row r="325" spans="1:11">
      <c r="A325" s="133"/>
      <c r="B325" s="13"/>
      <c r="C325" s="13"/>
      <c r="D325" s="13"/>
      <c r="E325" s="13"/>
      <c r="F325" s="13"/>
      <c r="G325" s="13"/>
      <c r="H325" s="13"/>
      <c r="I325" s="13"/>
      <c r="J325" s="13"/>
      <c r="K325" s="13"/>
    </row>
    <row r="326" spans="1:11">
      <c r="A326" s="133"/>
      <c r="B326" s="13"/>
      <c r="C326" s="13"/>
      <c r="D326" s="13"/>
      <c r="E326" s="13"/>
      <c r="F326" s="13"/>
      <c r="G326" s="13"/>
      <c r="H326" s="13"/>
      <c r="I326" s="13"/>
      <c r="J326" s="13"/>
      <c r="K326" s="13"/>
    </row>
    <row r="327" spans="1:11">
      <c r="A327" s="133"/>
      <c r="B327" s="13"/>
      <c r="C327" s="13"/>
      <c r="D327" s="13"/>
      <c r="E327" s="13"/>
      <c r="F327" s="13"/>
      <c r="G327" s="13"/>
      <c r="H327" s="13"/>
      <c r="I327" s="13"/>
      <c r="J327" s="13"/>
      <c r="K327" s="13"/>
    </row>
    <row r="328" spans="1:11">
      <c r="A328" s="133"/>
      <c r="B328" s="13"/>
      <c r="C328" s="13"/>
      <c r="D328" s="13"/>
      <c r="E328" s="13"/>
      <c r="F328" s="13"/>
      <c r="G328" s="13"/>
      <c r="H328" s="13"/>
      <c r="I328" s="13"/>
      <c r="J328" s="13"/>
      <c r="K328" s="13"/>
    </row>
    <row r="329" spans="1:11">
      <c r="A329" s="133"/>
      <c r="B329" s="13"/>
      <c r="C329" s="13"/>
      <c r="D329" s="13"/>
      <c r="E329" s="13"/>
      <c r="F329" s="13"/>
      <c r="G329" s="13"/>
      <c r="H329" s="13"/>
      <c r="I329" s="13"/>
      <c r="J329" s="13"/>
      <c r="K329" s="13"/>
    </row>
    <row r="330" spans="1:11">
      <c r="A330" s="133"/>
      <c r="B330" s="13"/>
      <c r="C330" s="13"/>
      <c r="D330" s="13"/>
      <c r="E330" s="13"/>
      <c r="F330" s="13"/>
      <c r="G330" s="13"/>
      <c r="H330" s="13"/>
      <c r="I330" s="13"/>
      <c r="J330" s="13"/>
      <c r="K330" s="13"/>
    </row>
    <row r="331" spans="1:11">
      <c r="A331" s="133"/>
      <c r="B331" s="13"/>
      <c r="C331" s="13"/>
      <c r="D331" s="13"/>
      <c r="E331" s="13"/>
      <c r="F331" s="13"/>
      <c r="G331" s="13"/>
      <c r="H331" s="13"/>
      <c r="I331" s="13"/>
      <c r="J331" s="13"/>
      <c r="K331" s="13"/>
    </row>
    <row r="332" spans="1:11">
      <c r="A332" s="133"/>
      <c r="B332" s="13"/>
      <c r="C332" s="13"/>
      <c r="D332" s="13"/>
      <c r="E332" s="13"/>
      <c r="F332" s="13"/>
      <c r="G332" s="13"/>
      <c r="H332" s="13"/>
      <c r="I332" s="13"/>
      <c r="J332" s="13"/>
      <c r="K332" s="13"/>
    </row>
    <row r="333" spans="1:11">
      <c r="A333" s="133"/>
      <c r="B333" s="13"/>
      <c r="C333" s="13"/>
      <c r="D333" s="13"/>
      <c r="E333" s="13"/>
      <c r="F333" s="13"/>
      <c r="G333" s="13"/>
      <c r="H333" s="13"/>
      <c r="I333" s="13"/>
      <c r="J333" s="13"/>
      <c r="K333" s="13"/>
    </row>
    <row r="334" spans="1:11">
      <c r="A334" s="133"/>
      <c r="B334" s="13"/>
      <c r="C334" s="13"/>
      <c r="D334" s="13"/>
      <c r="E334" s="13"/>
      <c r="F334" s="13"/>
      <c r="G334" s="13"/>
      <c r="H334" s="13"/>
      <c r="I334" s="13"/>
      <c r="J334" s="13"/>
      <c r="K334" s="13"/>
    </row>
    <row r="335" spans="1:11">
      <c r="A335" s="133"/>
      <c r="B335" s="13"/>
      <c r="C335" s="13"/>
      <c r="D335" s="13"/>
      <c r="E335" s="13"/>
      <c r="F335" s="13"/>
      <c r="G335" s="13"/>
      <c r="H335" s="13"/>
      <c r="I335" s="13"/>
      <c r="J335" s="13"/>
      <c r="K335" s="13"/>
    </row>
    <row r="336" spans="1:11">
      <c r="A336" s="133"/>
      <c r="B336" s="13"/>
      <c r="C336" s="13"/>
      <c r="D336" s="13"/>
      <c r="E336" s="13"/>
      <c r="F336" s="13"/>
      <c r="G336" s="13"/>
      <c r="H336" s="13"/>
      <c r="I336" s="13"/>
      <c r="J336" s="13"/>
      <c r="K336" s="13"/>
    </row>
    <row r="337" spans="1:11">
      <c r="A337" s="133"/>
      <c r="B337" s="13"/>
      <c r="C337" s="13"/>
      <c r="D337" s="13"/>
      <c r="E337" s="13"/>
      <c r="F337" s="13"/>
      <c r="G337" s="13"/>
      <c r="H337" s="13"/>
      <c r="I337" s="13"/>
      <c r="J337" s="13"/>
      <c r="K337" s="13"/>
    </row>
    <row r="338" spans="1:11">
      <c r="A338" s="133"/>
      <c r="B338" s="13"/>
      <c r="C338" s="13"/>
      <c r="D338" s="13"/>
      <c r="E338" s="13"/>
      <c r="F338" s="13"/>
      <c r="G338" s="13"/>
      <c r="H338" s="13"/>
      <c r="I338" s="13"/>
      <c r="J338" s="13"/>
      <c r="K338" s="13"/>
    </row>
    <row r="339" spans="1:11">
      <c r="A339" s="133"/>
      <c r="B339" s="13"/>
      <c r="C339" s="13"/>
      <c r="D339" s="13"/>
      <c r="E339" s="13"/>
      <c r="F339" s="13"/>
      <c r="G339" s="13"/>
      <c r="H339" s="13"/>
      <c r="I339" s="13"/>
      <c r="J339" s="13"/>
      <c r="K339" s="13"/>
    </row>
    <row r="340" spans="1:11">
      <c r="A340" s="133"/>
      <c r="B340" s="13"/>
      <c r="C340" s="13"/>
      <c r="D340" s="13"/>
      <c r="E340" s="13"/>
      <c r="F340" s="13"/>
      <c r="G340" s="13"/>
      <c r="H340" s="13"/>
      <c r="I340" s="13"/>
      <c r="J340" s="13"/>
      <c r="K340" s="13"/>
    </row>
    <row r="341" spans="1:11">
      <c r="A341" s="133"/>
      <c r="B341" s="13"/>
      <c r="C341" s="13"/>
      <c r="D341" s="13"/>
      <c r="E341" s="13"/>
      <c r="F341" s="13"/>
      <c r="G341" s="13"/>
      <c r="H341" s="13"/>
      <c r="I341" s="13"/>
      <c r="J341" s="13"/>
      <c r="K341" s="13"/>
    </row>
    <row r="342" spans="1:11">
      <c r="A342" s="133"/>
      <c r="B342" s="13"/>
      <c r="C342" s="13"/>
      <c r="D342" s="13"/>
      <c r="E342" s="13"/>
      <c r="F342" s="13"/>
      <c r="G342" s="13"/>
      <c r="H342" s="13"/>
      <c r="I342" s="13"/>
      <c r="J342" s="13"/>
      <c r="K342" s="13"/>
    </row>
    <row r="343" spans="1:11">
      <c r="A343" s="133"/>
      <c r="B343" s="13"/>
      <c r="C343" s="13"/>
      <c r="D343" s="13"/>
      <c r="E343" s="13"/>
      <c r="F343" s="13"/>
      <c r="G343" s="13"/>
      <c r="H343" s="13"/>
      <c r="I343" s="13"/>
      <c r="J343" s="13"/>
      <c r="K343" s="13"/>
    </row>
    <row r="344" spans="1:11">
      <c r="A344" s="133"/>
      <c r="B344" s="13"/>
      <c r="C344" s="13"/>
      <c r="D344" s="13"/>
      <c r="E344" s="13"/>
      <c r="F344" s="13"/>
      <c r="G344" s="13"/>
      <c r="H344" s="13"/>
      <c r="I344" s="13"/>
      <c r="J344" s="13"/>
      <c r="K344" s="13"/>
    </row>
    <row r="345" spans="1:11">
      <c r="A345" s="133"/>
      <c r="B345" s="13"/>
      <c r="C345" s="13"/>
      <c r="D345" s="13"/>
      <c r="E345" s="13"/>
      <c r="F345" s="13"/>
      <c r="G345" s="13"/>
      <c r="H345" s="13"/>
      <c r="I345" s="13"/>
      <c r="J345" s="13"/>
      <c r="K345" s="13"/>
    </row>
    <row r="346" spans="1:11">
      <c r="A346" s="133"/>
      <c r="B346" s="13"/>
      <c r="C346" s="13"/>
      <c r="D346" s="13"/>
      <c r="E346" s="13"/>
      <c r="F346" s="13"/>
      <c r="G346" s="13"/>
      <c r="H346" s="13"/>
      <c r="I346" s="13"/>
      <c r="J346" s="13"/>
      <c r="K346" s="13"/>
    </row>
    <row r="347" spans="1:11">
      <c r="A347" s="133"/>
      <c r="B347" s="13"/>
      <c r="C347" s="13"/>
      <c r="D347" s="13"/>
      <c r="E347" s="13"/>
      <c r="F347" s="13"/>
      <c r="G347" s="13"/>
      <c r="H347" s="13"/>
      <c r="I347" s="13"/>
      <c r="J347" s="13"/>
      <c r="K347" s="13"/>
    </row>
    <row r="348" spans="1:11">
      <c r="A348" s="133"/>
      <c r="B348" s="13"/>
      <c r="C348" s="13"/>
      <c r="D348" s="13"/>
      <c r="E348" s="13"/>
      <c r="F348" s="13"/>
      <c r="G348" s="13"/>
      <c r="H348" s="13"/>
      <c r="I348" s="13"/>
      <c r="J348" s="13"/>
      <c r="K348" s="13"/>
    </row>
    <row r="349" spans="1:11">
      <c r="A349" s="133"/>
      <c r="B349" s="13"/>
      <c r="C349" s="13"/>
      <c r="D349" s="13"/>
      <c r="E349" s="13"/>
      <c r="F349" s="13"/>
      <c r="G349" s="13"/>
      <c r="H349" s="13"/>
      <c r="I349" s="13"/>
      <c r="J349" s="13"/>
      <c r="K349" s="13"/>
    </row>
    <row r="350" spans="1:11">
      <c r="A350" s="133"/>
      <c r="B350" s="13"/>
      <c r="C350" s="13"/>
      <c r="D350" s="13"/>
      <c r="E350" s="13"/>
      <c r="F350" s="13"/>
      <c r="G350" s="13"/>
      <c r="H350" s="13"/>
      <c r="I350" s="13"/>
      <c r="J350" s="13"/>
      <c r="K350" s="13"/>
    </row>
    <row r="351" spans="1:11">
      <c r="A351" s="133"/>
      <c r="B351" s="13"/>
      <c r="C351" s="13"/>
      <c r="D351" s="13"/>
      <c r="E351" s="13"/>
      <c r="F351" s="13"/>
      <c r="G351" s="13"/>
      <c r="H351" s="13"/>
      <c r="I351" s="13"/>
      <c r="J351" s="13"/>
      <c r="K351" s="13"/>
    </row>
    <row r="352" spans="1:11">
      <c r="A352" s="133"/>
      <c r="B352" s="13"/>
      <c r="C352" s="13"/>
      <c r="D352" s="13"/>
      <c r="E352" s="13"/>
      <c r="F352" s="13"/>
      <c r="G352" s="13"/>
      <c r="H352" s="13"/>
      <c r="I352" s="13"/>
      <c r="J352" s="13"/>
      <c r="K352" s="13"/>
    </row>
    <row r="353" spans="1:11">
      <c r="A353" s="133"/>
      <c r="B353" s="13"/>
      <c r="C353" s="13"/>
      <c r="D353" s="13"/>
      <c r="E353" s="13"/>
      <c r="F353" s="13"/>
      <c r="G353" s="13"/>
      <c r="H353" s="13"/>
      <c r="I353" s="13"/>
      <c r="J353" s="13"/>
      <c r="K353" s="13"/>
    </row>
    <row r="354" spans="1:11">
      <c r="A354" s="133"/>
      <c r="B354" s="13"/>
      <c r="C354" s="13"/>
      <c r="D354" s="13"/>
      <c r="E354" s="13"/>
      <c r="F354" s="13"/>
      <c r="G354" s="13"/>
      <c r="H354" s="13"/>
      <c r="I354" s="13"/>
      <c r="J354" s="13"/>
      <c r="K354" s="13"/>
    </row>
    <row r="355" spans="1:11">
      <c r="A355" s="133"/>
      <c r="B355" s="13"/>
      <c r="C355" s="13"/>
      <c r="D355" s="13"/>
      <c r="E355" s="13"/>
      <c r="F355" s="13"/>
      <c r="G355" s="13"/>
      <c r="H355" s="13"/>
      <c r="I355" s="13"/>
      <c r="J355" s="13"/>
      <c r="K355" s="13"/>
    </row>
    <row r="356" spans="1:11">
      <c r="A356" s="133"/>
      <c r="B356" s="13"/>
      <c r="C356" s="13"/>
      <c r="D356" s="13"/>
      <c r="E356" s="13"/>
      <c r="F356" s="13"/>
      <c r="G356" s="13"/>
      <c r="H356" s="13"/>
      <c r="I356" s="13"/>
      <c r="J356" s="13"/>
      <c r="K356" s="13"/>
    </row>
    <row r="357" spans="1:11">
      <c r="A357" s="133"/>
      <c r="B357" s="13"/>
      <c r="C357" s="13"/>
      <c r="D357" s="13"/>
      <c r="E357" s="13"/>
      <c r="F357" s="13"/>
      <c r="G357" s="13"/>
      <c r="H357" s="13"/>
      <c r="I357" s="13"/>
      <c r="J357" s="13"/>
      <c r="K357" s="13"/>
    </row>
    <row r="358" spans="1:11">
      <c r="A358" s="133"/>
      <c r="B358" s="13"/>
      <c r="C358" s="13"/>
      <c r="D358" s="13"/>
      <c r="E358" s="13"/>
      <c r="F358" s="13"/>
      <c r="G358" s="13"/>
      <c r="H358" s="13"/>
      <c r="I358" s="13"/>
      <c r="J358" s="13"/>
      <c r="K358" s="13"/>
    </row>
    <row r="359" spans="1:11">
      <c r="A359" s="133"/>
      <c r="B359" s="13"/>
      <c r="C359" s="13"/>
      <c r="D359" s="13"/>
      <c r="E359" s="13"/>
      <c r="F359" s="13"/>
      <c r="G359" s="13"/>
      <c r="H359" s="13"/>
      <c r="I359" s="13"/>
      <c r="J359" s="13"/>
      <c r="K359" s="13"/>
    </row>
    <row r="360" spans="1:11">
      <c r="A360" s="133"/>
      <c r="B360" s="13"/>
      <c r="C360" s="13"/>
      <c r="D360" s="13"/>
      <c r="E360" s="13"/>
      <c r="F360" s="13"/>
      <c r="G360" s="13"/>
      <c r="H360" s="13"/>
      <c r="I360" s="13"/>
      <c r="J360" s="13"/>
      <c r="K360" s="13"/>
    </row>
    <row r="361" spans="1:11">
      <c r="A361" s="133"/>
      <c r="B361" s="13"/>
      <c r="C361" s="13"/>
      <c r="D361" s="13"/>
      <c r="E361" s="13"/>
      <c r="F361" s="13"/>
      <c r="G361" s="13"/>
      <c r="H361" s="13"/>
      <c r="I361" s="13"/>
      <c r="J361" s="13"/>
      <c r="K361" s="13"/>
    </row>
    <row r="362" spans="1:11">
      <c r="A362" s="133"/>
      <c r="B362" s="13"/>
      <c r="C362" s="13"/>
      <c r="D362" s="13"/>
      <c r="E362" s="13"/>
      <c r="F362" s="13"/>
      <c r="G362" s="13"/>
      <c r="H362" s="13"/>
      <c r="I362" s="13"/>
      <c r="J362" s="13"/>
      <c r="K362" s="13"/>
    </row>
    <row r="363" spans="1:11">
      <c r="A363" s="133"/>
      <c r="B363" s="13"/>
      <c r="C363" s="13"/>
      <c r="D363" s="13"/>
      <c r="E363" s="13"/>
      <c r="F363" s="13"/>
      <c r="G363" s="13"/>
      <c r="H363" s="13"/>
      <c r="I363" s="13"/>
      <c r="J363" s="13"/>
      <c r="K363" s="13"/>
    </row>
    <row r="364" spans="1:11">
      <c r="A364" s="133"/>
      <c r="B364" s="13"/>
      <c r="C364" s="13"/>
      <c r="D364" s="13"/>
      <c r="E364" s="13"/>
      <c r="F364" s="13"/>
      <c r="G364" s="13"/>
      <c r="H364" s="13"/>
      <c r="I364" s="13"/>
      <c r="J364" s="13"/>
      <c r="K364" s="13"/>
    </row>
    <row r="365" spans="1:11">
      <c r="A365" s="133"/>
      <c r="B365" s="13"/>
      <c r="C365" s="13"/>
      <c r="D365" s="13"/>
      <c r="E365" s="13"/>
      <c r="F365" s="13"/>
      <c r="G365" s="13"/>
      <c r="H365" s="13"/>
      <c r="I365" s="13"/>
      <c r="J365" s="13"/>
      <c r="K365" s="13"/>
    </row>
    <row r="366" spans="1:11">
      <c r="A366" s="133"/>
      <c r="B366" s="13"/>
      <c r="C366" s="13"/>
      <c r="D366" s="13"/>
      <c r="E366" s="13"/>
      <c r="F366" s="13"/>
      <c r="G366" s="13"/>
      <c r="H366" s="13"/>
      <c r="I366" s="13"/>
      <c r="J366" s="13"/>
      <c r="K366" s="13"/>
    </row>
    <row r="367" spans="1:11">
      <c r="A367" s="133"/>
      <c r="B367" s="13"/>
      <c r="C367" s="13"/>
      <c r="D367" s="13"/>
      <c r="E367" s="13"/>
      <c r="F367" s="13"/>
      <c r="G367" s="13"/>
      <c r="H367" s="13"/>
      <c r="I367" s="13"/>
      <c r="J367" s="13"/>
      <c r="K367" s="13"/>
    </row>
    <row r="368" spans="1:11">
      <c r="A368" s="133"/>
      <c r="B368" s="13"/>
      <c r="C368" s="13"/>
      <c r="D368" s="13"/>
      <c r="E368" s="13"/>
      <c r="F368" s="13"/>
      <c r="G368" s="13"/>
      <c r="H368" s="13"/>
      <c r="I368" s="13"/>
      <c r="J368" s="13"/>
      <c r="K368" s="13"/>
    </row>
    <row r="369" spans="1:11">
      <c r="A369" s="133"/>
      <c r="B369" s="13"/>
      <c r="C369" s="13"/>
      <c r="D369" s="13"/>
      <c r="E369" s="13"/>
      <c r="F369" s="13"/>
      <c r="G369" s="13"/>
      <c r="H369" s="13"/>
      <c r="I369" s="13"/>
      <c r="J369" s="13"/>
      <c r="K369" s="13"/>
    </row>
    <row r="370" spans="1:11">
      <c r="A370" s="133"/>
      <c r="B370" s="13"/>
      <c r="C370" s="13"/>
      <c r="D370" s="13"/>
      <c r="E370" s="13"/>
      <c r="F370" s="13"/>
      <c r="G370" s="13"/>
      <c r="H370" s="13"/>
      <c r="I370" s="13"/>
      <c r="J370" s="13"/>
      <c r="K370" s="13"/>
    </row>
    <row r="371" spans="1:11">
      <c r="A371" s="133"/>
      <c r="B371" s="13"/>
      <c r="C371" s="13"/>
      <c r="D371" s="13"/>
      <c r="E371" s="13"/>
      <c r="F371" s="13"/>
      <c r="G371" s="13"/>
      <c r="H371" s="13"/>
      <c r="I371" s="13"/>
      <c r="J371" s="13"/>
      <c r="K371" s="13"/>
    </row>
    <row r="372" spans="1:11">
      <c r="A372" s="133"/>
      <c r="B372" s="13"/>
      <c r="C372" s="13"/>
      <c r="D372" s="13"/>
      <c r="E372" s="13"/>
      <c r="F372" s="13"/>
      <c r="G372" s="13"/>
      <c r="H372" s="13"/>
      <c r="I372" s="13"/>
      <c r="J372" s="13"/>
      <c r="K372" s="13"/>
    </row>
    <row r="373" spans="1:11">
      <c r="A373" s="133"/>
      <c r="B373" s="13"/>
      <c r="C373" s="13"/>
      <c r="D373" s="13"/>
      <c r="E373" s="13"/>
      <c r="F373" s="13"/>
      <c r="G373" s="13"/>
      <c r="H373" s="13"/>
      <c r="I373" s="13"/>
      <c r="J373" s="13"/>
      <c r="K373" s="13"/>
    </row>
    <row r="374" spans="1:11">
      <c r="A374" s="133"/>
      <c r="B374" s="13"/>
      <c r="C374" s="13"/>
      <c r="D374" s="13"/>
      <c r="E374" s="13"/>
      <c r="F374" s="13"/>
      <c r="G374" s="13"/>
      <c r="H374" s="13"/>
      <c r="I374" s="13"/>
      <c r="J374" s="13"/>
      <c r="K374" s="13"/>
    </row>
    <row r="375" spans="1:11">
      <c r="A375" s="133"/>
      <c r="B375" s="13"/>
      <c r="C375" s="13"/>
      <c r="D375" s="13"/>
      <c r="E375" s="13"/>
      <c r="F375" s="13"/>
      <c r="G375" s="13"/>
      <c r="H375" s="13"/>
      <c r="I375" s="13"/>
      <c r="J375" s="13"/>
      <c r="K375" s="13"/>
    </row>
    <row r="376" spans="1:11">
      <c r="A376" s="133"/>
      <c r="B376" s="13"/>
      <c r="C376" s="13"/>
      <c r="D376" s="13"/>
      <c r="E376" s="13"/>
      <c r="F376" s="13"/>
      <c r="G376" s="13"/>
      <c r="H376" s="13"/>
      <c r="I376" s="13"/>
      <c r="J376" s="13"/>
      <c r="K376" s="13"/>
    </row>
    <row r="377" spans="1:11">
      <c r="A377" s="133"/>
      <c r="B377" s="13"/>
      <c r="C377" s="13"/>
      <c r="D377" s="13"/>
      <c r="E377" s="13"/>
      <c r="F377" s="13"/>
      <c r="G377" s="13"/>
      <c r="H377" s="13"/>
      <c r="I377" s="13"/>
      <c r="J377" s="13"/>
      <c r="K377" s="13"/>
    </row>
    <row r="378" spans="1:11">
      <c r="A378" s="133"/>
      <c r="B378" s="13"/>
      <c r="C378" s="13"/>
      <c r="D378" s="13"/>
      <c r="E378" s="13"/>
      <c r="F378" s="13"/>
      <c r="G378" s="13"/>
      <c r="H378" s="13"/>
      <c r="I378" s="13"/>
      <c r="J378" s="13"/>
      <c r="K378" s="13"/>
    </row>
    <row r="379" spans="1:11">
      <c r="A379" s="133"/>
      <c r="B379" s="13"/>
      <c r="C379" s="13"/>
      <c r="D379" s="13"/>
      <c r="E379" s="13"/>
      <c r="F379" s="13"/>
      <c r="G379" s="13"/>
      <c r="H379" s="13"/>
      <c r="I379" s="13"/>
      <c r="J379" s="13"/>
      <c r="K379" s="13"/>
    </row>
    <row r="380" spans="1:11">
      <c r="A380" s="133"/>
      <c r="B380" s="13"/>
      <c r="C380" s="13"/>
      <c r="D380" s="13"/>
      <c r="E380" s="13"/>
      <c r="F380" s="13"/>
      <c r="G380" s="13"/>
      <c r="H380" s="13"/>
      <c r="I380" s="13"/>
      <c r="J380" s="13"/>
      <c r="K380" s="13"/>
    </row>
    <row r="381" spans="1:11">
      <c r="A381" s="133"/>
      <c r="B381" s="13"/>
      <c r="C381" s="13"/>
      <c r="D381" s="13"/>
      <c r="E381" s="13"/>
      <c r="F381" s="13"/>
      <c r="G381" s="13"/>
      <c r="H381" s="13"/>
      <c r="I381" s="13"/>
      <c r="J381" s="13"/>
      <c r="K381" s="13"/>
    </row>
    <row r="382" spans="1:11">
      <c r="A382" s="133"/>
      <c r="B382" s="13"/>
      <c r="C382" s="13"/>
      <c r="D382" s="13"/>
      <c r="E382" s="13"/>
      <c r="F382" s="13"/>
      <c r="G382" s="13"/>
      <c r="H382" s="13"/>
      <c r="I382" s="13"/>
      <c r="J382" s="13"/>
      <c r="K382" s="13"/>
    </row>
    <row r="383" spans="1:11">
      <c r="A383" s="133"/>
      <c r="B383" s="13"/>
      <c r="C383" s="13"/>
      <c r="D383" s="13"/>
      <c r="E383" s="13"/>
      <c r="F383" s="13"/>
      <c r="G383" s="13"/>
      <c r="H383" s="13"/>
      <c r="I383" s="13"/>
      <c r="J383" s="13"/>
      <c r="K383" s="13"/>
    </row>
    <row r="384" spans="1:11">
      <c r="A384" s="133"/>
      <c r="B384" s="13"/>
      <c r="C384" s="13"/>
      <c r="D384" s="13"/>
      <c r="E384" s="13"/>
      <c r="F384" s="13"/>
      <c r="G384" s="13"/>
      <c r="H384" s="13"/>
      <c r="I384" s="13"/>
      <c r="J384" s="13"/>
      <c r="K384" s="13"/>
    </row>
    <row r="385" spans="1:11">
      <c r="A385" s="133"/>
      <c r="B385" s="13"/>
      <c r="C385" s="13"/>
      <c r="D385" s="13"/>
      <c r="E385" s="13"/>
      <c r="F385" s="13"/>
      <c r="G385" s="13"/>
      <c r="H385" s="13"/>
      <c r="I385" s="13"/>
      <c r="J385" s="13"/>
      <c r="K385" s="13"/>
    </row>
    <row r="386" spans="1:11">
      <c r="A386" s="133"/>
      <c r="B386" s="13"/>
      <c r="C386" s="13"/>
      <c r="D386" s="13"/>
      <c r="E386" s="13"/>
      <c r="F386" s="13"/>
      <c r="G386" s="13"/>
      <c r="H386" s="13"/>
      <c r="I386" s="13"/>
      <c r="J386" s="13"/>
      <c r="K386" s="13"/>
    </row>
    <row r="387" spans="1:11">
      <c r="A387" s="133"/>
      <c r="B387" s="13"/>
      <c r="C387" s="13"/>
      <c r="D387" s="13"/>
      <c r="E387" s="13"/>
      <c r="F387" s="13"/>
      <c r="G387" s="13"/>
      <c r="H387" s="13"/>
      <c r="I387" s="13"/>
      <c r="J387" s="13"/>
      <c r="K387" s="13"/>
    </row>
    <row r="388" spans="1:11">
      <c r="A388" s="133"/>
      <c r="B388" s="13"/>
      <c r="C388" s="13"/>
      <c r="D388" s="13"/>
      <c r="E388" s="13"/>
      <c r="F388" s="13"/>
      <c r="G388" s="13"/>
      <c r="H388" s="13"/>
      <c r="I388" s="13"/>
      <c r="J388" s="13"/>
      <c r="K388" s="13"/>
    </row>
    <row r="389" spans="1:11">
      <c r="A389" s="133"/>
      <c r="B389" s="13"/>
      <c r="C389" s="13"/>
      <c r="D389" s="13"/>
      <c r="E389" s="13"/>
      <c r="F389" s="13"/>
      <c r="G389" s="13"/>
      <c r="H389" s="13"/>
      <c r="I389" s="13"/>
      <c r="J389" s="13"/>
      <c r="K389" s="13"/>
    </row>
    <row r="390" spans="1:11">
      <c r="A390" s="133"/>
      <c r="B390" s="13"/>
      <c r="C390" s="13"/>
      <c r="D390" s="13"/>
      <c r="E390" s="13"/>
      <c r="F390" s="13"/>
      <c r="G390" s="13"/>
      <c r="H390" s="13"/>
      <c r="I390" s="13"/>
      <c r="J390" s="13"/>
      <c r="K390" s="13"/>
    </row>
    <row r="391" spans="1:11">
      <c r="A391" s="133"/>
      <c r="B391" s="13"/>
      <c r="C391" s="13"/>
      <c r="D391" s="13"/>
      <c r="E391" s="13"/>
      <c r="F391" s="13"/>
      <c r="G391" s="13"/>
      <c r="H391" s="13"/>
      <c r="I391" s="13"/>
      <c r="J391" s="13"/>
      <c r="K391" s="13"/>
    </row>
    <row r="392" spans="1:11">
      <c r="A392" s="133"/>
      <c r="B392" s="13"/>
      <c r="C392" s="13"/>
      <c r="D392" s="13"/>
      <c r="E392" s="13"/>
      <c r="F392" s="13"/>
      <c r="G392" s="13"/>
      <c r="H392" s="13"/>
      <c r="I392" s="13"/>
      <c r="J392" s="13"/>
      <c r="K392" s="13"/>
    </row>
    <row r="393" spans="1:11">
      <c r="A393" s="133"/>
      <c r="B393" s="13"/>
      <c r="C393" s="13"/>
      <c r="D393" s="13"/>
      <c r="E393" s="13"/>
      <c r="F393" s="13"/>
      <c r="G393" s="13"/>
      <c r="H393" s="13"/>
      <c r="I393" s="13"/>
      <c r="J393" s="13"/>
      <c r="K393" s="13"/>
    </row>
    <row r="394" spans="1:11">
      <c r="A394" s="133"/>
      <c r="B394" s="13"/>
      <c r="C394" s="13"/>
      <c r="D394" s="13"/>
      <c r="E394" s="13"/>
      <c r="F394" s="13"/>
      <c r="G394" s="13"/>
      <c r="H394" s="13"/>
      <c r="I394" s="13"/>
      <c r="J394" s="13"/>
      <c r="K394" s="13"/>
    </row>
    <row r="395" spans="1:11">
      <c r="A395" s="133"/>
      <c r="B395" s="13"/>
      <c r="C395" s="13"/>
      <c r="D395" s="13"/>
      <c r="E395" s="13"/>
      <c r="F395" s="13"/>
      <c r="G395" s="13"/>
      <c r="H395" s="13"/>
      <c r="I395" s="13"/>
      <c r="J395" s="13"/>
      <c r="K395" s="13"/>
    </row>
    <row r="396" spans="1:11">
      <c r="A396" s="133"/>
      <c r="B396" s="13"/>
      <c r="C396" s="13"/>
      <c r="D396" s="13"/>
      <c r="E396" s="13"/>
      <c r="F396" s="13"/>
      <c r="G396" s="13"/>
      <c r="H396" s="13"/>
      <c r="I396" s="13"/>
      <c r="J396" s="13"/>
      <c r="K396" s="13"/>
    </row>
    <row r="397" spans="1:11">
      <c r="A397" s="133"/>
      <c r="B397" s="13"/>
      <c r="C397" s="13"/>
      <c r="D397" s="13"/>
      <c r="E397" s="13"/>
      <c r="F397" s="13"/>
      <c r="G397" s="13"/>
      <c r="H397" s="13"/>
      <c r="I397" s="13"/>
      <c r="J397" s="13"/>
      <c r="K397" s="13"/>
    </row>
    <row r="398" spans="1:11">
      <c r="A398" s="133"/>
      <c r="B398" s="13"/>
      <c r="C398" s="13"/>
      <c r="D398" s="13"/>
      <c r="E398" s="13"/>
      <c r="F398" s="13"/>
      <c r="G398" s="13"/>
      <c r="H398" s="13"/>
      <c r="I398" s="13"/>
      <c r="J398" s="13"/>
      <c r="K398" s="13"/>
    </row>
    <row r="399" spans="1:11">
      <c r="A399" s="133"/>
      <c r="B399" s="13"/>
      <c r="C399" s="13"/>
      <c r="D399" s="13"/>
      <c r="E399" s="13"/>
      <c r="F399" s="13"/>
      <c r="G399" s="13"/>
      <c r="H399" s="13"/>
      <c r="I399" s="13"/>
      <c r="J399" s="13"/>
      <c r="K399" s="13"/>
    </row>
    <row r="400" spans="1:11">
      <c r="A400" s="133"/>
      <c r="B400" s="13"/>
      <c r="C400" s="13"/>
      <c r="D400" s="13"/>
      <c r="E400" s="13"/>
      <c r="F400" s="13"/>
      <c r="G400" s="13"/>
      <c r="H400" s="13"/>
      <c r="I400" s="13"/>
      <c r="J400" s="13"/>
      <c r="K400" s="13"/>
    </row>
    <row r="401" spans="1:11">
      <c r="A401" s="133"/>
      <c r="B401" s="13"/>
      <c r="C401" s="13"/>
      <c r="D401" s="13"/>
      <c r="E401" s="13"/>
      <c r="F401" s="13"/>
      <c r="G401" s="13"/>
      <c r="H401" s="13"/>
      <c r="I401" s="13"/>
      <c r="J401" s="13"/>
      <c r="K401" s="13"/>
    </row>
    <row r="402" spans="1:11">
      <c r="A402" s="133"/>
      <c r="B402" s="13"/>
      <c r="C402" s="13"/>
      <c r="D402" s="13"/>
      <c r="E402" s="13"/>
      <c r="F402" s="13"/>
      <c r="G402" s="13"/>
      <c r="H402" s="13"/>
      <c r="I402" s="13"/>
      <c r="J402" s="13"/>
      <c r="K402" s="13"/>
    </row>
    <row r="403" spans="1:11">
      <c r="A403" s="133"/>
      <c r="B403" s="13"/>
      <c r="C403" s="13"/>
      <c r="D403" s="13"/>
      <c r="E403" s="13"/>
      <c r="F403" s="13"/>
      <c r="G403" s="13"/>
      <c r="H403" s="13"/>
      <c r="I403" s="13"/>
      <c r="J403" s="13"/>
      <c r="K403" s="13"/>
    </row>
    <row r="404" spans="1:11">
      <c r="A404" s="133"/>
      <c r="B404" s="13"/>
      <c r="C404" s="13"/>
      <c r="D404" s="13"/>
      <c r="E404" s="13"/>
      <c r="F404" s="13"/>
      <c r="G404" s="13"/>
      <c r="H404" s="13"/>
      <c r="I404" s="13"/>
      <c r="J404" s="13"/>
      <c r="K404" s="13"/>
    </row>
    <row r="405" spans="1:11">
      <c r="A405" s="133"/>
      <c r="B405" s="13"/>
      <c r="C405" s="13"/>
      <c r="D405" s="13"/>
      <c r="E405" s="13"/>
      <c r="F405" s="13"/>
      <c r="G405" s="13"/>
      <c r="H405" s="13"/>
      <c r="I405" s="13"/>
      <c r="J405" s="13"/>
      <c r="K405" s="13"/>
    </row>
    <row r="406" spans="1:11">
      <c r="A406" s="133"/>
      <c r="B406" s="13"/>
      <c r="C406" s="13"/>
      <c r="D406" s="13"/>
      <c r="E406" s="13"/>
      <c r="F406" s="13"/>
      <c r="G406" s="13"/>
      <c r="H406" s="13"/>
      <c r="I406" s="13"/>
      <c r="J406" s="13"/>
      <c r="K406" s="13"/>
    </row>
    <row r="407" spans="1:11">
      <c r="A407" s="133"/>
      <c r="B407" s="13"/>
      <c r="C407" s="13"/>
      <c r="D407" s="13"/>
      <c r="E407" s="13"/>
      <c r="F407" s="13"/>
      <c r="G407" s="13"/>
      <c r="H407" s="13"/>
      <c r="I407" s="13"/>
      <c r="J407" s="13"/>
      <c r="K407" s="13"/>
    </row>
    <row r="408" spans="1:11">
      <c r="A408" s="133"/>
      <c r="B408" s="13"/>
      <c r="C408" s="13"/>
      <c r="D408" s="13"/>
      <c r="E408" s="13"/>
      <c r="F408" s="13"/>
      <c r="G408" s="13"/>
      <c r="H408" s="13"/>
      <c r="I408" s="13"/>
      <c r="J408" s="13"/>
      <c r="K408" s="13"/>
    </row>
    <row r="409" spans="1:11">
      <c r="A409" s="133"/>
      <c r="B409" s="13"/>
      <c r="C409" s="13"/>
      <c r="D409" s="13"/>
      <c r="E409" s="13"/>
      <c r="F409" s="13"/>
      <c r="G409" s="13"/>
      <c r="H409" s="13"/>
      <c r="I409" s="13"/>
      <c r="J409" s="13"/>
      <c r="K409" s="13"/>
    </row>
    <row r="410" spans="1:11">
      <c r="A410" s="133"/>
      <c r="B410" s="13"/>
      <c r="C410" s="13"/>
      <c r="D410" s="13"/>
      <c r="E410" s="13"/>
      <c r="F410" s="13"/>
      <c r="G410" s="13"/>
      <c r="H410" s="13"/>
      <c r="I410" s="13"/>
      <c r="J410" s="13"/>
      <c r="K410" s="13"/>
    </row>
    <row r="411" spans="1:11">
      <c r="A411" s="133"/>
      <c r="B411" s="13"/>
      <c r="C411" s="13"/>
      <c r="D411" s="13"/>
      <c r="E411" s="13"/>
      <c r="F411" s="13"/>
      <c r="G411" s="13"/>
      <c r="H411" s="13"/>
      <c r="I411" s="13"/>
      <c r="J411" s="13"/>
      <c r="K411" s="13"/>
    </row>
    <row r="412" spans="1:11">
      <c r="A412" s="133"/>
      <c r="B412" s="13"/>
      <c r="C412" s="13"/>
      <c r="D412" s="13"/>
      <c r="E412" s="13"/>
      <c r="F412" s="13"/>
      <c r="G412" s="13"/>
      <c r="H412" s="13"/>
      <c r="I412" s="13"/>
      <c r="J412" s="13"/>
      <c r="K412" s="13"/>
    </row>
    <row r="413" spans="1:11">
      <c r="A413" s="133"/>
      <c r="B413" s="13"/>
      <c r="C413" s="13"/>
      <c r="D413" s="13"/>
      <c r="E413" s="13"/>
      <c r="F413" s="13"/>
      <c r="G413" s="13"/>
      <c r="H413" s="13"/>
      <c r="I413" s="13"/>
      <c r="J413" s="13"/>
      <c r="K413" s="13"/>
    </row>
    <row r="414" spans="1:11">
      <c r="A414" s="133"/>
      <c r="B414" s="13"/>
      <c r="C414" s="13"/>
      <c r="D414" s="13"/>
      <c r="E414" s="13"/>
      <c r="F414" s="13"/>
      <c r="G414" s="13"/>
      <c r="H414" s="13"/>
      <c r="I414" s="13"/>
      <c r="J414" s="13"/>
      <c r="K414" s="13"/>
    </row>
    <row r="415" spans="1:11">
      <c r="A415" s="133"/>
      <c r="B415" s="13"/>
      <c r="C415" s="13"/>
      <c r="D415" s="13"/>
      <c r="E415" s="13"/>
      <c r="F415" s="13"/>
      <c r="G415" s="13"/>
      <c r="H415" s="13"/>
      <c r="I415" s="13"/>
      <c r="J415" s="13"/>
      <c r="K415" s="13"/>
    </row>
    <row r="416" spans="1:11">
      <c r="A416" s="133"/>
      <c r="B416" s="13"/>
      <c r="C416" s="13"/>
      <c r="D416" s="13"/>
      <c r="E416" s="13"/>
      <c r="F416" s="13"/>
      <c r="G416" s="13"/>
      <c r="H416" s="13"/>
      <c r="I416" s="13"/>
      <c r="J416" s="13"/>
      <c r="K416" s="13"/>
    </row>
    <row r="417" spans="1:11">
      <c r="A417" s="133"/>
      <c r="B417" s="13"/>
      <c r="C417" s="13"/>
      <c r="D417" s="13"/>
      <c r="E417" s="13"/>
      <c r="F417" s="13"/>
      <c r="G417" s="13"/>
      <c r="H417" s="13"/>
      <c r="I417" s="13"/>
      <c r="J417" s="13"/>
      <c r="K417" s="13"/>
    </row>
    <row r="418" spans="1:11">
      <c r="A418" s="133"/>
      <c r="B418" s="13"/>
      <c r="C418" s="13"/>
      <c r="D418" s="13"/>
      <c r="E418" s="13"/>
      <c r="F418" s="13"/>
      <c r="G418" s="13"/>
      <c r="H418" s="13"/>
      <c r="I418" s="13"/>
      <c r="J418" s="13"/>
      <c r="K418" s="13"/>
    </row>
    <row r="419" spans="1:11">
      <c r="A419" s="133"/>
      <c r="B419" s="13"/>
      <c r="C419" s="13"/>
      <c r="D419" s="13"/>
      <c r="E419" s="13"/>
      <c r="F419" s="13"/>
      <c r="G419" s="13"/>
      <c r="H419" s="13"/>
      <c r="I419" s="13"/>
      <c r="J419" s="13"/>
      <c r="K419" s="13"/>
    </row>
    <row r="420" spans="1:11">
      <c r="A420" s="133"/>
      <c r="B420" s="13"/>
      <c r="C420" s="13"/>
      <c r="D420" s="13"/>
      <c r="E420" s="13"/>
      <c r="F420" s="13"/>
      <c r="G420" s="13"/>
      <c r="H420" s="13"/>
      <c r="I420" s="13"/>
      <c r="J420" s="13"/>
      <c r="K420" s="13"/>
    </row>
    <row r="421" spans="1:11">
      <c r="A421" s="133"/>
      <c r="B421" s="13"/>
      <c r="C421" s="13"/>
      <c r="D421" s="13"/>
      <c r="E421" s="13"/>
      <c r="F421" s="13"/>
      <c r="G421" s="13"/>
      <c r="H421" s="13"/>
      <c r="I421" s="13"/>
      <c r="J421" s="13"/>
      <c r="K421" s="13"/>
    </row>
    <row r="422" spans="1:11">
      <c r="A422" s="133"/>
      <c r="B422" s="13"/>
      <c r="C422" s="13"/>
      <c r="D422" s="13"/>
      <c r="E422" s="13"/>
      <c r="F422" s="13"/>
      <c r="G422" s="13"/>
      <c r="H422" s="13"/>
      <c r="I422" s="13"/>
      <c r="J422" s="13"/>
      <c r="K422" s="13"/>
    </row>
    <row r="423" spans="1:11">
      <c r="A423" s="133"/>
      <c r="B423" s="13"/>
      <c r="C423" s="13"/>
      <c r="D423" s="13"/>
      <c r="E423" s="13"/>
      <c r="F423" s="13"/>
      <c r="G423" s="13"/>
      <c r="H423" s="13"/>
      <c r="I423" s="13"/>
      <c r="J423" s="13"/>
      <c r="K423" s="13"/>
    </row>
    <row r="424" spans="1:11">
      <c r="A424" s="133"/>
      <c r="B424" s="13"/>
      <c r="C424" s="13"/>
      <c r="D424" s="13"/>
      <c r="E424" s="13"/>
      <c r="F424" s="13"/>
      <c r="G424" s="13"/>
      <c r="H424" s="13"/>
      <c r="I424" s="13"/>
      <c r="J424" s="13"/>
      <c r="K424" s="13"/>
    </row>
    <row r="425" spans="1:11">
      <c r="A425" s="133"/>
      <c r="B425" s="13"/>
      <c r="C425" s="13"/>
      <c r="D425" s="13"/>
      <c r="E425" s="13"/>
      <c r="F425" s="13"/>
      <c r="G425" s="13"/>
      <c r="H425" s="13"/>
      <c r="I425" s="13"/>
      <c r="J425" s="13"/>
      <c r="K425" s="13"/>
    </row>
    <row r="426" spans="1:11">
      <c r="A426" s="133"/>
      <c r="B426" s="13"/>
      <c r="C426" s="13"/>
      <c r="D426" s="13"/>
      <c r="E426" s="13"/>
      <c r="F426" s="13"/>
      <c r="G426" s="13"/>
      <c r="H426" s="13"/>
      <c r="I426" s="13"/>
      <c r="J426" s="13"/>
      <c r="K426" s="13"/>
    </row>
    <row r="427" spans="1:11">
      <c r="A427" s="133"/>
      <c r="B427" s="13"/>
      <c r="C427" s="13"/>
      <c r="D427" s="13"/>
      <c r="E427" s="13"/>
      <c r="F427" s="13"/>
      <c r="G427" s="13"/>
      <c r="H427" s="13"/>
      <c r="I427" s="13"/>
      <c r="J427" s="13"/>
      <c r="K427" s="13"/>
    </row>
    <row r="428" spans="1:11">
      <c r="A428" s="133"/>
      <c r="B428" s="13"/>
      <c r="C428" s="13"/>
      <c r="D428" s="13"/>
      <c r="E428" s="13"/>
      <c r="F428" s="13"/>
      <c r="G428" s="13"/>
      <c r="H428" s="13"/>
      <c r="I428" s="13"/>
      <c r="J428" s="13"/>
      <c r="K428" s="13"/>
    </row>
    <row r="429" spans="1:11">
      <c r="A429" s="133"/>
      <c r="B429" s="13"/>
      <c r="C429" s="13"/>
      <c r="D429" s="13"/>
      <c r="E429" s="13"/>
      <c r="F429" s="13"/>
      <c r="G429" s="13"/>
      <c r="H429" s="13"/>
      <c r="I429" s="13"/>
      <c r="J429" s="13"/>
      <c r="K429" s="13"/>
    </row>
    <row r="430" spans="1:11">
      <c r="A430" s="133"/>
      <c r="B430" s="13"/>
      <c r="C430" s="13"/>
      <c r="D430" s="13"/>
      <c r="E430" s="13"/>
      <c r="F430" s="13"/>
      <c r="G430" s="13"/>
      <c r="H430" s="13"/>
      <c r="I430" s="13"/>
      <c r="J430" s="13"/>
      <c r="K430" s="13"/>
    </row>
    <row r="431" spans="1:11">
      <c r="A431" s="133"/>
      <c r="B431" s="13"/>
      <c r="C431" s="13"/>
      <c r="D431" s="13"/>
      <c r="E431" s="13"/>
      <c r="F431" s="13"/>
      <c r="G431" s="13"/>
      <c r="H431" s="13"/>
      <c r="I431" s="13"/>
      <c r="J431" s="13"/>
      <c r="K431" s="13"/>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C000"/>
    <pageSetUpPr fitToPage="1"/>
  </sheetPr>
  <dimension ref="A1:P430"/>
  <sheetViews>
    <sheetView zoomScalePageLayoutView="50" workbookViewId="0">
      <selection activeCell="A2" sqref="A2:H2"/>
    </sheetView>
  </sheetViews>
  <sheetFormatPr defaultColWidth="9.140625" defaultRowHeight="18.75"/>
  <cols>
    <col min="1" max="1" width="5.140625" style="136" customWidth="1"/>
    <col min="2" max="2" width="32.28515625" style="40" customWidth="1"/>
    <col min="3" max="3" width="13.28515625" style="43" customWidth="1"/>
    <col min="4" max="4" width="13.7109375" style="43" customWidth="1"/>
    <col min="5" max="5" width="16.140625" style="43" customWidth="1"/>
    <col min="6" max="6" width="15.7109375" style="3" customWidth="1"/>
    <col min="7" max="7" width="11.7109375" style="3" customWidth="1"/>
    <col min="8" max="8" width="14.7109375" style="3" customWidth="1"/>
    <col min="9" max="10" width="15.28515625" style="3" customWidth="1"/>
    <col min="11" max="11" width="18.28515625" style="13" customWidth="1"/>
    <col min="12" max="12" width="14.7109375" style="13" customWidth="1"/>
    <col min="13" max="15" width="15.28515625" style="13" customWidth="1"/>
    <col min="16" max="17" width="13.7109375" style="13" customWidth="1"/>
    <col min="18" max="19" width="15.28515625" style="13" customWidth="1"/>
    <col min="20" max="16384" width="9.140625" style="13"/>
  </cols>
  <sheetData>
    <row r="1" spans="1:16" ht="28.9" customHeight="1">
      <c r="A1" s="679" t="s">
        <v>269</v>
      </c>
      <c r="B1" s="679"/>
      <c r="C1" s="679"/>
      <c r="D1" s="679"/>
      <c r="E1" s="679"/>
      <c r="F1" s="679"/>
      <c r="G1" s="679"/>
      <c r="H1" s="679"/>
      <c r="I1" s="189"/>
      <c r="J1" s="798" t="s">
        <v>0</v>
      </c>
      <c r="K1" s="798"/>
      <c r="L1" s="798"/>
      <c r="M1" s="798"/>
      <c r="N1" s="798"/>
      <c r="O1" s="798"/>
      <c r="P1" s="138"/>
    </row>
    <row r="2" spans="1:16" ht="30" customHeight="1">
      <c r="A2" s="788" t="s">
        <v>1</v>
      </c>
      <c r="B2" s="788"/>
      <c r="C2" s="788"/>
      <c r="D2" s="788"/>
      <c r="E2" s="788"/>
      <c r="F2" s="788"/>
      <c r="G2" s="788"/>
      <c r="H2" s="788"/>
      <c r="I2" s="190"/>
      <c r="J2" s="799" t="s">
        <v>2</v>
      </c>
      <c r="K2" s="799"/>
      <c r="L2" s="799"/>
      <c r="M2" s="799"/>
      <c r="N2" s="799"/>
      <c r="O2" s="799"/>
      <c r="P2" s="141"/>
    </row>
    <row r="3" spans="1:16" s="14" customFormat="1" ht="42" customHeight="1">
      <c r="A3" s="746" t="s">
        <v>156</v>
      </c>
      <c r="B3" s="746"/>
      <c r="C3" s="746"/>
      <c r="D3" s="746"/>
      <c r="E3" s="746"/>
      <c r="F3" s="746"/>
      <c r="G3" s="746"/>
      <c r="H3" s="746"/>
      <c r="I3" s="746"/>
      <c r="J3" s="746"/>
      <c r="K3" s="746"/>
      <c r="L3" s="746"/>
      <c r="M3" s="746"/>
      <c r="N3" s="746"/>
      <c r="O3" s="746"/>
    </row>
    <row r="4" spans="1:16" s="14" customFormat="1" ht="32.25" customHeight="1">
      <c r="A4" s="805" t="s">
        <v>195</v>
      </c>
      <c r="B4" s="805"/>
      <c r="C4" s="805"/>
      <c r="D4" s="805"/>
      <c r="E4" s="805"/>
      <c r="F4" s="805"/>
      <c r="G4" s="805"/>
      <c r="H4" s="805"/>
      <c r="I4" s="805"/>
      <c r="J4" s="805"/>
      <c r="K4" s="805"/>
      <c r="L4" s="805"/>
      <c r="M4" s="805"/>
      <c r="N4" s="805"/>
      <c r="O4" s="805"/>
    </row>
    <row r="5" spans="1:16" ht="45.75" customHeight="1">
      <c r="A5" s="679" t="s">
        <v>270</v>
      </c>
      <c r="B5" s="679"/>
      <c r="C5" s="679"/>
      <c r="D5" s="679"/>
      <c r="E5" s="679"/>
      <c r="F5" s="679"/>
      <c r="G5" s="679"/>
      <c r="H5" s="679"/>
      <c r="I5" s="679"/>
      <c r="J5" s="679"/>
      <c r="K5" s="679"/>
      <c r="L5" s="679"/>
      <c r="M5" s="679"/>
      <c r="N5" s="679"/>
      <c r="O5" s="679"/>
    </row>
    <row r="6" spans="1:16" s="15" customFormat="1" ht="35.65" customHeight="1">
      <c r="A6" s="803" t="s">
        <v>3</v>
      </c>
      <c r="B6" s="803"/>
      <c r="C6" s="803"/>
      <c r="D6" s="803"/>
      <c r="E6" s="803"/>
      <c r="F6" s="803"/>
      <c r="G6" s="803"/>
      <c r="H6" s="803"/>
      <c r="I6" s="803"/>
      <c r="J6" s="803"/>
      <c r="K6" s="803"/>
      <c r="L6" s="803"/>
      <c r="M6" s="803"/>
      <c r="N6" s="803"/>
      <c r="O6" s="803"/>
    </row>
    <row r="7" spans="1:16" s="17" customFormat="1" ht="58.5" customHeight="1">
      <c r="A7" s="804" t="s">
        <v>22</v>
      </c>
      <c r="B7" s="704" t="s">
        <v>23</v>
      </c>
      <c r="C7" s="704" t="s">
        <v>24</v>
      </c>
      <c r="D7" s="704" t="s">
        <v>26</v>
      </c>
      <c r="E7" s="701" t="s">
        <v>27</v>
      </c>
      <c r="F7" s="702"/>
      <c r="G7" s="703"/>
      <c r="H7" s="715" t="s">
        <v>271</v>
      </c>
      <c r="I7" s="715"/>
      <c r="J7" s="716"/>
      <c r="K7" s="698" t="s">
        <v>272</v>
      </c>
      <c r="L7" s="714" t="s">
        <v>273</v>
      </c>
      <c r="M7" s="715"/>
      <c r="N7" s="716"/>
      <c r="O7" s="704" t="s">
        <v>7</v>
      </c>
    </row>
    <row r="8" spans="1:16" s="17" customFormat="1" ht="36" customHeight="1">
      <c r="A8" s="804"/>
      <c r="B8" s="704"/>
      <c r="C8" s="704"/>
      <c r="D8" s="704"/>
      <c r="E8" s="706" t="s">
        <v>212</v>
      </c>
      <c r="F8" s="706" t="s">
        <v>30</v>
      </c>
      <c r="G8" s="706"/>
      <c r="H8" s="704" t="s">
        <v>9</v>
      </c>
      <c r="I8" s="704" t="s">
        <v>14</v>
      </c>
      <c r="J8" s="704"/>
      <c r="K8" s="699"/>
      <c r="L8" s="704" t="s">
        <v>9</v>
      </c>
      <c r="M8" s="714" t="s">
        <v>14</v>
      </c>
      <c r="N8" s="715"/>
      <c r="O8" s="704"/>
    </row>
    <row r="9" spans="1:16" s="17" customFormat="1" ht="36" customHeight="1">
      <c r="A9" s="804"/>
      <c r="B9" s="704"/>
      <c r="C9" s="704"/>
      <c r="D9" s="704"/>
      <c r="E9" s="706"/>
      <c r="F9" s="706" t="s">
        <v>213</v>
      </c>
      <c r="G9" s="717" t="s">
        <v>274</v>
      </c>
      <c r="H9" s="704"/>
      <c r="I9" s="704" t="s">
        <v>196</v>
      </c>
      <c r="J9" s="704" t="s">
        <v>197</v>
      </c>
      <c r="K9" s="699"/>
      <c r="L9" s="704"/>
      <c r="M9" s="704" t="s">
        <v>196</v>
      </c>
      <c r="N9" s="714" t="s">
        <v>197</v>
      </c>
      <c r="O9" s="704"/>
    </row>
    <row r="10" spans="1:16" s="17" customFormat="1" ht="44.25" customHeight="1">
      <c r="A10" s="804"/>
      <c r="B10" s="704"/>
      <c r="C10" s="704"/>
      <c r="D10" s="704"/>
      <c r="E10" s="706"/>
      <c r="F10" s="801"/>
      <c r="G10" s="719"/>
      <c r="H10" s="704"/>
      <c r="I10" s="704"/>
      <c r="J10" s="704"/>
      <c r="K10" s="700"/>
      <c r="L10" s="704"/>
      <c r="M10" s="704"/>
      <c r="N10" s="714"/>
      <c r="O10" s="704"/>
    </row>
    <row r="11" spans="1:16" s="19" customFormat="1" ht="26.25" customHeight="1">
      <c r="A11" s="193">
        <v>1</v>
      </c>
      <c r="B11" s="18">
        <v>2</v>
      </c>
      <c r="C11" s="193">
        <v>3</v>
      </c>
      <c r="D11" s="18">
        <v>4</v>
      </c>
      <c r="E11" s="193">
        <v>5</v>
      </c>
      <c r="F11" s="18">
        <v>6</v>
      </c>
      <c r="G11" s="193">
        <v>7</v>
      </c>
      <c r="H11" s="18">
        <v>8</v>
      </c>
      <c r="I11" s="193">
        <v>9</v>
      </c>
      <c r="J11" s="18">
        <v>10</v>
      </c>
      <c r="K11" s="193">
        <v>11</v>
      </c>
      <c r="L11" s="18">
        <v>12</v>
      </c>
      <c r="M11" s="193">
        <v>13</v>
      </c>
      <c r="N11" s="18">
        <v>14</v>
      </c>
      <c r="O11" s="193">
        <v>15</v>
      </c>
    </row>
    <row r="12" spans="1:16" s="19" customFormat="1" ht="34.5" customHeight="1">
      <c r="A12" s="193"/>
      <c r="B12" s="20" t="s">
        <v>13</v>
      </c>
      <c r="C12" s="193"/>
      <c r="D12" s="18"/>
      <c r="E12" s="193"/>
      <c r="F12" s="18"/>
      <c r="G12" s="193"/>
      <c r="H12" s="193"/>
      <c r="I12" s="193"/>
      <c r="J12" s="193"/>
      <c r="K12" s="193"/>
      <c r="L12" s="193"/>
      <c r="M12" s="193"/>
      <c r="N12" s="193"/>
      <c r="O12" s="193"/>
    </row>
    <row r="13" spans="1:16" s="19" customFormat="1" ht="36" customHeight="1">
      <c r="A13" s="21" t="s">
        <v>32</v>
      </c>
      <c r="B13" s="22" t="s">
        <v>216</v>
      </c>
      <c r="C13" s="18"/>
      <c r="D13" s="18"/>
      <c r="E13" s="18"/>
      <c r="F13" s="18"/>
      <c r="G13" s="18"/>
      <c r="H13" s="18"/>
      <c r="I13" s="18"/>
      <c r="J13" s="18"/>
      <c r="K13" s="192"/>
      <c r="L13" s="192"/>
      <c r="M13" s="192"/>
      <c r="N13" s="192"/>
      <c r="O13" s="192"/>
    </row>
    <row r="14" spans="1:16" s="19" customFormat="1" ht="29.25" customHeight="1">
      <c r="A14" s="21" t="s">
        <v>37</v>
      </c>
      <c r="B14" s="22" t="s">
        <v>169</v>
      </c>
      <c r="C14" s="18"/>
      <c r="D14" s="18"/>
      <c r="E14" s="18"/>
      <c r="F14" s="18"/>
      <c r="G14" s="18"/>
      <c r="H14" s="18"/>
      <c r="I14" s="18"/>
      <c r="J14" s="18"/>
      <c r="K14" s="192"/>
      <c r="L14" s="192"/>
      <c r="M14" s="192"/>
      <c r="N14" s="192"/>
      <c r="O14" s="192"/>
    </row>
    <row r="15" spans="1:16" s="19" customFormat="1" ht="29.25" customHeight="1">
      <c r="A15" s="29" t="s">
        <v>33</v>
      </c>
      <c r="B15" s="30" t="s">
        <v>38</v>
      </c>
      <c r="C15" s="18"/>
      <c r="D15" s="18"/>
      <c r="E15" s="18"/>
      <c r="F15" s="18"/>
      <c r="G15" s="18"/>
      <c r="H15" s="18"/>
      <c r="I15" s="18"/>
      <c r="J15" s="18"/>
      <c r="K15" s="192"/>
      <c r="L15" s="192"/>
      <c r="M15" s="192"/>
      <c r="N15" s="192"/>
      <c r="O15" s="192"/>
    </row>
    <row r="16" spans="1:16" s="19" customFormat="1" ht="29.25" customHeight="1">
      <c r="A16" s="29" t="s">
        <v>40</v>
      </c>
      <c r="B16" s="31" t="s">
        <v>41</v>
      </c>
      <c r="C16" s="18"/>
      <c r="D16" s="18"/>
      <c r="E16" s="18"/>
      <c r="F16" s="18"/>
      <c r="G16" s="18"/>
      <c r="H16" s="18"/>
      <c r="I16" s="18"/>
      <c r="J16" s="18"/>
      <c r="K16" s="192"/>
      <c r="L16" s="192"/>
      <c r="M16" s="192"/>
      <c r="N16" s="192"/>
      <c r="O16" s="192"/>
    </row>
    <row r="17" spans="1:15" s="19" customFormat="1" ht="29.25" customHeight="1">
      <c r="A17" s="21" t="s">
        <v>39</v>
      </c>
      <c r="B17" s="22" t="s">
        <v>170</v>
      </c>
      <c r="C17" s="18"/>
      <c r="D17" s="18"/>
      <c r="E17" s="18"/>
      <c r="F17" s="18"/>
      <c r="G17" s="18"/>
      <c r="H17" s="18"/>
      <c r="I17" s="18"/>
      <c r="J17" s="18"/>
      <c r="K17" s="192"/>
      <c r="L17" s="192"/>
      <c r="M17" s="192"/>
      <c r="N17" s="192"/>
      <c r="O17" s="192"/>
    </row>
    <row r="18" spans="1:15" s="19" customFormat="1" ht="61.5" customHeight="1">
      <c r="A18" s="21" t="s">
        <v>198</v>
      </c>
      <c r="B18" s="26" t="s">
        <v>199</v>
      </c>
      <c r="C18" s="18"/>
      <c r="D18" s="18"/>
      <c r="E18" s="18"/>
      <c r="F18" s="18"/>
      <c r="G18" s="18"/>
      <c r="H18" s="18"/>
      <c r="I18" s="18"/>
      <c r="J18" s="18"/>
      <c r="K18" s="192"/>
      <c r="L18" s="192"/>
      <c r="M18" s="192"/>
      <c r="N18" s="192"/>
      <c r="O18" s="192"/>
    </row>
    <row r="19" spans="1:15" s="19" customFormat="1" ht="32.25" customHeight="1">
      <c r="A19" s="29" t="s">
        <v>33</v>
      </c>
      <c r="B19" s="30" t="s">
        <v>38</v>
      </c>
      <c r="C19" s="18"/>
      <c r="D19" s="18"/>
      <c r="E19" s="18"/>
      <c r="F19" s="18"/>
      <c r="G19" s="18"/>
      <c r="H19" s="18"/>
      <c r="I19" s="18"/>
      <c r="J19" s="18"/>
      <c r="K19" s="192"/>
      <c r="L19" s="192"/>
      <c r="M19" s="192"/>
      <c r="N19" s="192"/>
      <c r="O19" s="192"/>
    </row>
    <row r="20" spans="1:15" s="19" customFormat="1" ht="32.25" customHeight="1">
      <c r="A20" s="29" t="s">
        <v>40</v>
      </c>
      <c r="B20" s="31" t="s">
        <v>41</v>
      </c>
      <c r="C20" s="18"/>
      <c r="D20" s="18"/>
      <c r="E20" s="18"/>
      <c r="F20" s="18"/>
      <c r="G20" s="18"/>
      <c r="H20" s="18"/>
      <c r="I20" s="18"/>
      <c r="J20" s="18"/>
      <c r="K20" s="192"/>
      <c r="L20" s="192"/>
      <c r="M20" s="192"/>
      <c r="N20" s="192"/>
      <c r="O20" s="192"/>
    </row>
    <row r="21" spans="1:15" ht="37.5">
      <c r="A21" s="21" t="s">
        <v>200</v>
      </c>
      <c r="B21" s="26" t="s">
        <v>201</v>
      </c>
      <c r="C21" s="33"/>
      <c r="D21" s="33"/>
      <c r="E21" s="33"/>
      <c r="F21" s="34"/>
      <c r="G21" s="34"/>
      <c r="H21" s="34"/>
      <c r="I21" s="34"/>
      <c r="J21" s="34"/>
      <c r="K21" s="47"/>
      <c r="L21" s="47"/>
      <c r="M21" s="47"/>
      <c r="N21" s="47"/>
      <c r="O21" s="47"/>
    </row>
    <row r="22" spans="1:15" s="25" customFormat="1" ht="36.75" customHeight="1">
      <c r="A22" s="29" t="s">
        <v>33</v>
      </c>
      <c r="B22" s="30" t="s">
        <v>38</v>
      </c>
      <c r="C22" s="23"/>
      <c r="D22" s="23"/>
      <c r="E22" s="23"/>
      <c r="F22" s="24"/>
      <c r="G22" s="24"/>
      <c r="H22" s="24"/>
      <c r="I22" s="24"/>
      <c r="J22" s="24"/>
      <c r="K22" s="194"/>
      <c r="L22" s="194"/>
      <c r="M22" s="194"/>
      <c r="N22" s="194"/>
      <c r="O22" s="194"/>
    </row>
    <row r="23" spans="1:15" ht="36.75" customHeight="1">
      <c r="A23" s="29" t="s">
        <v>40</v>
      </c>
      <c r="B23" s="31" t="s">
        <v>41</v>
      </c>
      <c r="C23" s="33"/>
      <c r="D23" s="33"/>
      <c r="E23" s="33"/>
      <c r="F23" s="34"/>
      <c r="G23" s="34"/>
      <c r="H23" s="34"/>
      <c r="I23" s="34"/>
      <c r="J23" s="34"/>
      <c r="K23" s="47"/>
      <c r="L23" s="47"/>
      <c r="M23" s="47"/>
      <c r="N23" s="47"/>
      <c r="O23" s="47"/>
    </row>
    <row r="24" spans="1:15" ht="37.5">
      <c r="A24" s="21" t="s">
        <v>202</v>
      </c>
      <c r="B24" s="26" t="s">
        <v>217</v>
      </c>
      <c r="C24" s="33"/>
      <c r="D24" s="33"/>
      <c r="E24" s="33"/>
      <c r="F24" s="34"/>
      <c r="G24" s="34"/>
      <c r="H24" s="34"/>
      <c r="I24" s="34"/>
      <c r="J24" s="34"/>
      <c r="K24" s="47"/>
      <c r="L24" s="47"/>
      <c r="M24" s="47"/>
      <c r="N24" s="47"/>
      <c r="O24" s="47"/>
    </row>
    <row r="25" spans="1:15" s="25" customFormat="1" ht="32.25" customHeight="1">
      <c r="A25" s="29" t="s">
        <v>33</v>
      </c>
      <c r="B25" s="30" t="s">
        <v>38</v>
      </c>
      <c r="C25" s="23"/>
      <c r="D25" s="23"/>
      <c r="E25" s="23"/>
      <c r="F25" s="24"/>
      <c r="G25" s="24"/>
      <c r="H25" s="24"/>
      <c r="I25" s="24"/>
      <c r="J25" s="24"/>
      <c r="K25" s="194"/>
      <c r="L25" s="194"/>
      <c r="M25" s="194"/>
      <c r="N25" s="194"/>
      <c r="O25" s="194"/>
    </row>
    <row r="26" spans="1:15" ht="32.25" customHeight="1">
      <c r="A26" s="29"/>
      <c r="B26" s="31" t="s">
        <v>218</v>
      </c>
      <c r="C26" s="33"/>
      <c r="D26" s="33"/>
      <c r="E26" s="33"/>
      <c r="F26" s="34"/>
      <c r="G26" s="34"/>
      <c r="H26" s="34"/>
      <c r="I26" s="34"/>
      <c r="J26" s="34"/>
      <c r="K26" s="47"/>
      <c r="L26" s="47"/>
      <c r="M26" s="47"/>
      <c r="N26" s="47"/>
      <c r="O26" s="47"/>
    </row>
    <row r="27" spans="1:15" ht="47.25" customHeight="1">
      <c r="A27" s="21" t="s">
        <v>203</v>
      </c>
      <c r="B27" s="26" t="s">
        <v>204</v>
      </c>
      <c r="C27" s="33"/>
      <c r="D27" s="33"/>
      <c r="E27" s="33"/>
      <c r="F27" s="34"/>
      <c r="G27" s="34"/>
      <c r="H27" s="34"/>
      <c r="I27" s="34"/>
      <c r="J27" s="34"/>
      <c r="K27" s="47"/>
      <c r="L27" s="47"/>
      <c r="M27" s="47"/>
      <c r="N27" s="47"/>
      <c r="O27" s="47"/>
    </row>
    <row r="28" spans="1:15" ht="39" customHeight="1">
      <c r="A28" s="29" t="s">
        <v>33</v>
      </c>
      <c r="B28" s="30" t="s">
        <v>38</v>
      </c>
      <c r="C28" s="33"/>
      <c r="D28" s="33"/>
      <c r="E28" s="33"/>
      <c r="F28" s="34"/>
      <c r="G28" s="34"/>
      <c r="H28" s="34"/>
      <c r="I28" s="34"/>
      <c r="J28" s="34"/>
      <c r="K28" s="47"/>
      <c r="L28" s="47"/>
      <c r="M28" s="47"/>
      <c r="N28" s="47"/>
      <c r="O28" s="47"/>
    </row>
    <row r="29" spans="1:15" ht="33.75" customHeight="1">
      <c r="A29" s="29"/>
      <c r="B29" s="30" t="s">
        <v>219</v>
      </c>
      <c r="C29" s="33"/>
      <c r="D29" s="33"/>
      <c r="E29" s="33"/>
      <c r="F29" s="34"/>
      <c r="G29" s="34"/>
      <c r="H29" s="34"/>
      <c r="I29" s="34"/>
      <c r="J29" s="34"/>
      <c r="K29" s="47"/>
      <c r="L29" s="47"/>
      <c r="M29" s="47"/>
      <c r="N29" s="47"/>
      <c r="O29" s="47"/>
    </row>
    <row r="30" spans="1:15" ht="56.25">
      <c r="A30" s="21" t="s">
        <v>205</v>
      </c>
      <c r="B30" s="26" t="s">
        <v>206</v>
      </c>
      <c r="C30" s="33"/>
      <c r="D30" s="33"/>
      <c r="E30" s="33"/>
      <c r="F30" s="34"/>
      <c r="G30" s="34"/>
      <c r="H30" s="34"/>
      <c r="I30" s="34"/>
      <c r="J30" s="34"/>
      <c r="K30" s="47"/>
      <c r="L30" s="47"/>
      <c r="M30" s="47"/>
      <c r="N30" s="47"/>
      <c r="O30" s="47"/>
    </row>
    <row r="31" spans="1:15" s="25" customFormat="1" ht="53.25" customHeight="1">
      <c r="A31" s="29" t="s">
        <v>33</v>
      </c>
      <c r="B31" s="30" t="s">
        <v>38</v>
      </c>
      <c r="C31" s="23"/>
      <c r="D31" s="23"/>
      <c r="E31" s="23"/>
      <c r="F31" s="24"/>
      <c r="G31" s="24"/>
      <c r="H31" s="24"/>
      <c r="I31" s="24"/>
      <c r="J31" s="24"/>
      <c r="K31" s="194"/>
      <c r="L31" s="194"/>
      <c r="M31" s="194"/>
      <c r="N31" s="194"/>
      <c r="O31" s="194"/>
    </row>
    <row r="32" spans="1:15" ht="37.5" customHeight="1">
      <c r="A32" s="29"/>
      <c r="B32" s="30" t="s">
        <v>219</v>
      </c>
      <c r="C32" s="33"/>
      <c r="D32" s="33"/>
      <c r="E32" s="33"/>
      <c r="F32" s="34"/>
      <c r="G32" s="34"/>
      <c r="H32" s="34"/>
      <c r="I32" s="34"/>
      <c r="J32" s="34"/>
      <c r="K32" s="47"/>
      <c r="L32" s="47"/>
      <c r="M32" s="47"/>
      <c r="N32" s="47"/>
      <c r="O32" s="47"/>
    </row>
    <row r="33" spans="1:15" ht="39" customHeight="1">
      <c r="A33" s="21" t="s">
        <v>48</v>
      </c>
      <c r="B33" s="22" t="s">
        <v>220</v>
      </c>
      <c r="C33" s="33"/>
      <c r="D33" s="33"/>
      <c r="E33" s="33"/>
      <c r="F33" s="34"/>
      <c r="G33" s="34"/>
      <c r="H33" s="34"/>
      <c r="I33" s="34"/>
      <c r="J33" s="34"/>
      <c r="K33" s="47"/>
      <c r="L33" s="47"/>
      <c r="M33" s="47"/>
      <c r="N33" s="47"/>
      <c r="O33" s="47"/>
    </row>
    <row r="34" spans="1:15" s="25" customFormat="1" ht="38.25" customHeight="1">
      <c r="A34" s="29"/>
      <c r="B34" s="26" t="s">
        <v>221</v>
      </c>
      <c r="C34" s="23"/>
      <c r="D34" s="23"/>
      <c r="E34" s="23"/>
      <c r="F34" s="24"/>
      <c r="G34" s="24"/>
      <c r="H34" s="24"/>
      <c r="I34" s="24"/>
      <c r="J34" s="24"/>
      <c r="K34" s="194"/>
      <c r="L34" s="194"/>
      <c r="M34" s="194"/>
      <c r="N34" s="194"/>
      <c r="O34" s="194"/>
    </row>
    <row r="35" spans="1:15" ht="30" customHeight="1">
      <c r="A35" s="130"/>
      <c r="B35" s="172"/>
      <c r="C35" s="37"/>
      <c r="D35" s="37"/>
      <c r="E35" s="37"/>
      <c r="F35" s="38"/>
      <c r="G35" s="38"/>
      <c r="H35" s="38"/>
      <c r="I35" s="38"/>
      <c r="J35" s="38"/>
    </row>
    <row r="36" spans="1:15" ht="30" customHeight="1">
      <c r="A36" s="130"/>
      <c r="B36" s="172" t="s">
        <v>19</v>
      </c>
      <c r="C36" s="37"/>
      <c r="D36" s="37"/>
      <c r="E36" s="37"/>
      <c r="F36" s="38"/>
      <c r="G36" s="38"/>
      <c r="H36" s="38"/>
      <c r="I36" s="38"/>
      <c r="J36" s="38"/>
    </row>
    <row r="37" spans="1:15" ht="30" customHeight="1">
      <c r="A37" s="130"/>
      <c r="B37" s="173" t="s">
        <v>275</v>
      </c>
      <c r="C37" s="37"/>
      <c r="D37" s="37"/>
      <c r="E37" s="37"/>
      <c r="F37" s="38"/>
      <c r="G37" s="38"/>
      <c r="H37" s="38"/>
      <c r="I37" s="38"/>
      <c r="J37" s="38"/>
    </row>
    <row r="38" spans="1:15" ht="30" customHeight="1">
      <c r="A38" s="130"/>
      <c r="B38" s="173" t="s">
        <v>276</v>
      </c>
      <c r="C38" s="37"/>
      <c r="D38" s="37"/>
      <c r="E38" s="37"/>
      <c r="F38" s="38"/>
      <c r="G38" s="38"/>
      <c r="H38" s="38"/>
      <c r="I38" s="38"/>
      <c r="J38" s="38"/>
    </row>
    <row r="39" spans="1:15" ht="30" customHeight="1">
      <c r="A39" s="130"/>
      <c r="B39" s="36"/>
      <c r="C39" s="37"/>
      <c r="D39" s="37"/>
      <c r="E39" s="37"/>
      <c r="F39" s="38"/>
      <c r="G39" s="38"/>
      <c r="H39" s="38"/>
      <c r="I39" s="38"/>
      <c r="J39" s="38"/>
    </row>
    <row r="40" spans="1:15" ht="30" customHeight="1">
      <c r="A40" s="130"/>
      <c r="B40" s="36"/>
      <c r="C40" s="37"/>
      <c r="D40" s="37"/>
      <c r="E40" s="37"/>
      <c r="F40" s="38"/>
      <c r="G40" s="38"/>
      <c r="H40" s="38"/>
      <c r="I40" s="38"/>
      <c r="J40" s="38"/>
    </row>
    <row r="41" spans="1:15" ht="30" customHeight="1">
      <c r="A41" s="130"/>
      <c r="B41" s="36"/>
      <c r="C41" s="37"/>
      <c r="D41" s="37"/>
      <c r="E41" s="37"/>
      <c r="F41" s="38"/>
      <c r="G41" s="38"/>
      <c r="H41" s="38"/>
      <c r="I41" s="38"/>
      <c r="J41" s="38"/>
    </row>
    <row r="42" spans="1:15" ht="30" customHeight="1">
      <c r="A42" s="130"/>
      <c r="B42" s="36"/>
      <c r="C42" s="37"/>
      <c r="D42" s="37"/>
      <c r="E42" s="37"/>
      <c r="F42" s="38"/>
      <c r="G42" s="38"/>
      <c r="H42" s="38"/>
      <c r="I42" s="38"/>
      <c r="J42" s="38"/>
    </row>
    <row r="43" spans="1:15" ht="30" customHeight="1">
      <c r="A43" s="130"/>
      <c r="B43" s="36"/>
      <c r="C43" s="37"/>
      <c r="D43" s="37"/>
      <c r="E43" s="37"/>
      <c r="F43" s="38"/>
      <c r="G43" s="38"/>
      <c r="H43" s="38"/>
      <c r="I43" s="38"/>
      <c r="J43" s="38"/>
    </row>
    <row r="44" spans="1:15" ht="30" customHeight="1">
      <c r="A44" s="130"/>
      <c r="B44" s="36"/>
      <c r="C44" s="37"/>
      <c r="D44" s="37"/>
      <c r="E44" s="37"/>
      <c r="F44" s="38"/>
      <c r="G44" s="38"/>
      <c r="H44" s="38"/>
      <c r="I44" s="38"/>
      <c r="J44" s="38"/>
    </row>
    <row r="45" spans="1:15" ht="30" customHeight="1">
      <c r="B45" s="781"/>
      <c r="C45" s="781"/>
      <c r="D45" s="781"/>
      <c r="E45" s="781"/>
      <c r="F45" s="781"/>
      <c r="G45" s="781"/>
      <c r="H45" s="137"/>
      <c r="I45" s="137"/>
      <c r="J45" s="137"/>
    </row>
    <row r="46" spans="1:15" ht="19.899999999999999" customHeight="1"/>
    <row r="47" spans="1:15" s="25" customFormat="1" ht="25.5" customHeight="1">
      <c r="A47" s="195"/>
      <c r="B47" s="60" t="s">
        <v>222</v>
      </c>
      <c r="C47" s="195"/>
      <c r="D47" s="195"/>
      <c r="E47" s="195"/>
      <c r="F47" s="59"/>
      <c r="G47" s="59"/>
    </row>
    <row r="48" spans="1:15" s="133" customFormat="1" ht="25.5" customHeight="1">
      <c r="A48" s="130"/>
      <c r="B48" s="196" t="s">
        <v>223</v>
      </c>
      <c r="C48" s="130"/>
      <c r="D48" s="130"/>
      <c r="E48" s="130"/>
      <c r="F48" s="197"/>
      <c r="G48" s="197"/>
    </row>
    <row r="49" spans="1:7" s="133" customFormat="1" ht="25.5" customHeight="1">
      <c r="A49" s="130"/>
      <c r="B49" s="135" t="s">
        <v>224</v>
      </c>
      <c r="C49" s="130"/>
      <c r="D49" s="130"/>
      <c r="E49" s="130"/>
      <c r="F49" s="197"/>
      <c r="G49" s="197"/>
    </row>
    <row r="50" spans="1:7" s="133" customFormat="1" ht="25.5" customHeight="1">
      <c r="A50" s="130"/>
      <c r="B50" s="135" t="s">
        <v>225</v>
      </c>
      <c r="C50" s="130"/>
      <c r="D50" s="130"/>
      <c r="E50" s="130"/>
      <c r="F50" s="197"/>
      <c r="G50" s="197"/>
    </row>
    <row r="51" spans="1:7" s="133" customFormat="1" ht="25.5" customHeight="1">
      <c r="A51" s="130"/>
      <c r="B51" s="135" t="s">
        <v>226</v>
      </c>
      <c r="C51" s="130"/>
      <c r="D51" s="130"/>
      <c r="E51" s="130"/>
      <c r="F51" s="197"/>
      <c r="G51" s="197"/>
    </row>
    <row r="52" spans="1:7" s="133" customFormat="1" ht="25.5" customHeight="1">
      <c r="A52" s="130"/>
      <c r="B52" s="135" t="s">
        <v>227</v>
      </c>
      <c r="C52" s="130"/>
      <c r="D52" s="130"/>
      <c r="E52" s="130"/>
      <c r="F52" s="197"/>
      <c r="G52" s="197"/>
    </row>
    <row r="53" spans="1:7" s="133" customFormat="1" ht="25.5" customHeight="1">
      <c r="A53" s="136"/>
      <c r="B53" s="133" t="s">
        <v>228</v>
      </c>
    </row>
    <row r="54" spans="1:7" s="133" customFormat="1" ht="25.5" customHeight="1">
      <c r="A54" s="136"/>
      <c r="B54" s="133" t="s">
        <v>229</v>
      </c>
      <c r="C54" s="136"/>
      <c r="D54" s="136"/>
      <c r="E54" s="136"/>
      <c r="F54" s="198"/>
      <c r="G54" s="198"/>
    </row>
    <row r="55" spans="1:7" s="133" customFormat="1" ht="25.5" customHeight="1">
      <c r="A55" s="136"/>
      <c r="B55" s="133" t="s">
        <v>230</v>
      </c>
      <c r="C55" s="136"/>
      <c r="D55" s="136"/>
      <c r="E55" s="136"/>
      <c r="F55" s="198"/>
      <c r="G55" s="198"/>
    </row>
    <row r="56" spans="1:7" s="133" customFormat="1" ht="25.5" customHeight="1">
      <c r="A56" s="136"/>
      <c r="B56" s="133" t="s">
        <v>231</v>
      </c>
      <c r="C56" s="136"/>
      <c r="D56" s="136"/>
      <c r="E56" s="136"/>
      <c r="F56" s="198"/>
      <c r="G56" s="198"/>
    </row>
    <row r="57" spans="1:7" s="133" customFormat="1" ht="25.5" customHeight="1">
      <c r="A57" s="136"/>
      <c r="B57" s="133" t="s">
        <v>232</v>
      </c>
      <c r="C57" s="136"/>
      <c r="D57" s="136"/>
      <c r="E57" s="136"/>
      <c r="F57" s="198"/>
      <c r="G57" s="198"/>
    </row>
    <row r="58" spans="1:7" s="133" customFormat="1" ht="25.5" customHeight="1">
      <c r="A58" s="136"/>
      <c r="B58" s="133" t="s">
        <v>233</v>
      </c>
      <c r="C58" s="136"/>
      <c r="D58" s="136"/>
      <c r="E58" s="136"/>
      <c r="F58" s="198"/>
      <c r="G58" s="198"/>
    </row>
    <row r="59" spans="1:7" s="133" customFormat="1" ht="25.5" customHeight="1">
      <c r="A59" s="136"/>
      <c r="B59" s="133" t="s">
        <v>234</v>
      </c>
      <c r="C59" s="136"/>
      <c r="D59" s="136"/>
      <c r="E59" s="136"/>
      <c r="F59" s="198"/>
      <c r="G59" s="198"/>
    </row>
    <row r="60" spans="1:7" s="133" customFormat="1" ht="25.5" customHeight="1">
      <c r="B60" s="133" t="s">
        <v>235</v>
      </c>
    </row>
    <row r="61" spans="1:7" s="133" customFormat="1" ht="25.5" customHeight="1">
      <c r="B61" s="133" t="s">
        <v>236</v>
      </c>
    </row>
    <row r="62" spans="1:7" s="133" customFormat="1" ht="25.5" customHeight="1">
      <c r="B62" s="133" t="s">
        <v>237</v>
      </c>
    </row>
    <row r="63" spans="1:7" s="133" customFormat="1" ht="25.5" customHeight="1">
      <c r="B63" s="133" t="s">
        <v>238</v>
      </c>
    </row>
    <row r="64" spans="1:7" s="133" customFormat="1" ht="25.5" customHeight="1">
      <c r="B64" s="133" t="s">
        <v>239</v>
      </c>
    </row>
    <row r="65" spans="1:7" s="133" customFormat="1" ht="25.5" customHeight="1">
      <c r="B65" s="133" t="s">
        <v>240</v>
      </c>
    </row>
    <row r="66" spans="1:7" s="133" customFormat="1" ht="25.5" customHeight="1">
      <c r="B66" s="133" t="s">
        <v>241</v>
      </c>
    </row>
    <row r="67" spans="1:7" s="133" customFormat="1" ht="25.5" customHeight="1">
      <c r="B67" s="133" t="s">
        <v>242</v>
      </c>
    </row>
    <row r="68" spans="1:7" s="133" customFormat="1" ht="25.5" customHeight="1">
      <c r="B68" s="133" t="s">
        <v>243</v>
      </c>
    </row>
    <row r="69" spans="1:7" s="133" customFormat="1" ht="25.5" customHeight="1">
      <c r="B69" s="133" t="s">
        <v>244</v>
      </c>
    </row>
    <row r="70" spans="1:7" s="133" customFormat="1" ht="25.5" customHeight="1">
      <c r="B70" s="133" t="s">
        <v>245</v>
      </c>
    </row>
    <row r="71" spans="1:7" s="133" customFormat="1" ht="25.5" customHeight="1">
      <c r="A71" s="136"/>
      <c r="B71" s="133" t="s">
        <v>246</v>
      </c>
      <c r="C71" s="136"/>
      <c r="D71" s="136"/>
      <c r="E71" s="136"/>
      <c r="F71" s="198"/>
      <c r="G71" s="198"/>
    </row>
    <row r="72" spans="1:7" s="133" customFormat="1" ht="25.5" customHeight="1">
      <c r="B72" s="133" t="s">
        <v>247</v>
      </c>
    </row>
    <row r="73" spans="1:7" s="133" customFormat="1" ht="25.5" customHeight="1">
      <c r="B73" s="133" t="s">
        <v>248</v>
      </c>
    </row>
    <row r="74" spans="1:7" s="133" customFormat="1" ht="25.5" customHeight="1">
      <c r="B74" s="133" t="s">
        <v>249</v>
      </c>
    </row>
    <row r="75" spans="1:7" s="133" customFormat="1" ht="25.5" customHeight="1">
      <c r="B75" s="133" t="s">
        <v>250</v>
      </c>
    </row>
    <row r="76" spans="1:7" s="133" customFormat="1" ht="25.5" customHeight="1">
      <c r="B76" s="133" t="s">
        <v>251</v>
      </c>
    </row>
    <row r="77" spans="1:7" s="133" customFormat="1" ht="25.5" customHeight="1">
      <c r="B77" s="133" t="s">
        <v>252</v>
      </c>
    </row>
    <row r="78" spans="1:7" s="133" customFormat="1" ht="25.5" customHeight="1">
      <c r="B78" s="133" t="s">
        <v>253</v>
      </c>
    </row>
    <row r="79" spans="1:7" s="133" customFormat="1" ht="25.5" customHeight="1">
      <c r="B79" s="133" t="s">
        <v>254</v>
      </c>
    </row>
    <row r="80" spans="1:7" s="133" customFormat="1" ht="25.5" customHeight="1">
      <c r="B80" s="133" t="s">
        <v>255</v>
      </c>
    </row>
    <row r="81" spans="2:2" s="133" customFormat="1" ht="25.5" customHeight="1">
      <c r="B81" s="133" t="s">
        <v>256</v>
      </c>
    </row>
    <row r="82" spans="2:2" s="133" customFormat="1" ht="25.5" customHeight="1">
      <c r="B82" s="133" t="s">
        <v>257</v>
      </c>
    </row>
    <row r="83" spans="2:2" s="133" customFormat="1" ht="25.5" customHeight="1"/>
    <row r="84" spans="2:2" s="133" customFormat="1" ht="25.5" customHeight="1"/>
    <row r="85" spans="2:2" s="133" customFormat="1" ht="25.5" customHeight="1">
      <c r="B85" s="133" t="s">
        <v>258</v>
      </c>
    </row>
    <row r="86" spans="2:2" s="133" customFormat="1" ht="25.5" customHeight="1">
      <c r="B86" s="133" t="s">
        <v>259</v>
      </c>
    </row>
    <row r="87" spans="2:2" s="133" customFormat="1" ht="25.5" customHeight="1">
      <c r="B87" s="133" t="s">
        <v>260</v>
      </c>
    </row>
    <row r="88" spans="2:2" s="133" customFormat="1" ht="25.5" customHeight="1">
      <c r="B88" s="133" t="s">
        <v>261</v>
      </c>
    </row>
    <row r="89" spans="2:2" s="133" customFormat="1" ht="25.5" customHeight="1">
      <c r="B89" s="133" t="s">
        <v>262</v>
      </c>
    </row>
    <row r="90" spans="2:2" s="133" customFormat="1" ht="25.5" customHeight="1">
      <c r="B90" s="133" t="s">
        <v>263</v>
      </c>
    </row>
    <row r="91" spans="2:2" s="133" customFormat="1" ht="25.5" customHeight="1">
      <c r="B91" s="133" t="s">
        <v>264</v>
      </c>
    </row>
    <row r="92" spans="2:2" s="133" customFormat="1" ht="25.5" customHeight="1">
      <c r="B92" s="133" t="s">
        <v>265</v>
      </c>
    </row>
    <row r="93" spans="2:2" s="133" customFormat="1" ht="25.5" customHeight="1">
      <c r="B93" s="133" t="s">
        <v>266</v>
      </c>
    </row>
    <row r="94" spans="2:2" s="133" customFormat="1" ht="25.5" customHeight="1">
      <c r="B94" s="133" t="s">
        <v>267</v>
      </c>
    </row>
    <row r="95" spans="2:2" s="133" customFormat="1" ht="25.5" customHeight="1">
      <c r="B95" s="133" t="s">
        <v>268</v>
      </c>
    </row>
    <row r="96" spans="2:2" ht="19.899999999999999" customHeight="1"/>
    <row r="97" spans="1:10" ht="19.899999999999999" customHeight="1"/>
    <row r="98" spans="1:10" ht="19.899999999999999" customHeight="1"/>
    <row r="99" spans="1:10" ht="19.899999999999999" customHeight="1">
      <c r="A99" s="133"/>
      <c r="B99" s="13"/>
      <c r="C99" s="13"/>
      <c r="D99" s="13"/>
      <c r="E99" s="13"/>
      <c r="F99" s="13"/>
      <c r="G99" s="13"/>
      <c r="H99" s="13"/>
      <c r="I99" s="13"/>
      <c r="J99" s="13"/>
    </row>
    <row r="100" spans="1:10" ht="19.899999999999999" customHeight="1">
      <c r="A100" s="133"/>
      <c r="B100" s="13"/>
      <c r="C100" s="13"/>
      <c r="D100" s="13"/>
      <c r="E100" s="13"/>
      <c r="F100" s="13"/>
      <c r="G100" s="13"/>
      <c r="H100" s="13"/>
      <c r="I100" s="13"/>
      <c r="J100" s="13"/>
    </row>
    <row r="101" spans="1:10" ht="19.899999999999999" customHeight="1">
      <c r="A101" s="133"/>
      <c r="B101" s="13"/>
      <c r="C101" s="13"/>
      <c r="D101" s="13"/>
      <c r="E101" s="13"/>
      <c r="F101" s="13"/>
      <c r="G101" s="13"/>
      <c r="H101" s="13"/>
      <c r="I101" s="13"/>
      <c r="J101" s="13"/>
    </row>
    <row r="102" spans="1:10" ht="19.899999999999999" customHeight="1">
      <c r="A102" s="133"/>
      <c r="B102" s="13"/>
      <c r="C102" s="13"/>
      <c r="D102" s="13"/>
      <c r="E102" s="13"/>
      <c r="F102" s="13"/>
      <c r="G102" s="13"/>
      <c r="H102" s="13"/>
      <c r="I102" s="13"/>
      <c r="J102" s="13"/>
    </row>
    <row r="103" spans="1:10" ht="19.899999999999999" customHeight="1">
      <c r="A103" s="133"/>
      <c r="B103" s="13"/>
      <c r="C103" s="13"/>
      <c r="D103" s="13"/>
      <c r="E103" s="13"/>
      <c r="F103" s="13"/>
      <c r="G103" s="13"/>
      <c r="H103" s="13"/>
      <c r="I103" s="13"/>
      <c r="J103" s="13"/>
    </row>
    <row r="104" spans="1:10" ht="19.899999999999999" customHeight="1">
      <c r="A104" s="133"/>
      <c r="B104" s="13"/>
      <c r="C104" s="13"/>
      <c r="D104" s="13"/>
      <c r="E104" s="13"/>
      <c r="F104" s="13"/>
      <c r="G104" s="13"/>
      <c r="H104" s="13"/>
      <c r="I104" s="13"/>
      <c r="J104" s="13"/>
    </row>
    <row r="105" spans="1:10" ht="19.899999999999999" customHeight="1">
      <c r="A105" s="133"/>
      <c r="B105" s="13"/>
      <c r="C105" s="13"/>
      <c r="D105" s="13"/>
      <c r="E105" s="13"/>
      <c r="F105" s="13"/>
      <c r="G105" s="13"/>
      <c r="H105" s="13"/>
      <c r="I105" s="13"/>
      <c r="J105" s="13"/>
    </row>
    <row r="106" spans="1:10" ht="19.899999999999999" customHeight="1">
      <c r="A106" s="133"/>
      <c r="B106" s="13"/>
      <c r="C106" s="13"/>
      <c r="D106" s="13"/>
      <c r="E106" s="13"/>
      <c r="F106" s="13"/>
      <c r="G106" s="13"/>
      <c r="H106" s="13"/>
      <c r="I106" s="13"/>
      <c r="J106" s="13"/>
    </row>
    <row r="107" spans="1:10" ht="19.899999999999999" customHeight="1">
      <c r="A107" s="133"/>
      <c r="B107" s="13"/>
      <c r="C107" s="13"/>
      <c r="D107" s="13"/>
      <c r="E107" s="13"/>
      <c r="F107" s="13"/>
      <c r="G107" s="13"/>
      <c r="H107" s="13"/>
      <c r="I107" s="13"/>
      <c r="J107" s="13"/>
    </row>
    <row r="108" spans="1:10" ht="19.899999999999999" customHeight="1">
      <c r="A108" s="133"/>
      <c r="B108" s="13"/>
      <c r="C108" s="13"/>
      <c r="D108" s="13"/>
      <c r="E108" s="13"/>
      <c r="F108" s="13"/>
      <c r="G108" s="13"/>
      <c r="H108" s="13"/>
      <c r="I108" s="13"/>
      <c r="J108" s="13"/>
    </row>
    <row r="109" spans="1:10">
      <c r="A109" s="133"/>
      <c r="B109" s="13"/>
      <c r="C109" s="13"/>
      <c r="D109" s="13"/>
      <c r="E109" s="13"/>
      <c r="F109" s="13"/>
      <c r="G109" s="13"/>
      <c r="H109" s="13"/>
      <c r="I109" s="13"/>
      <c r="J109" s="13"/>
    </row>
    <row r="110" spans="1:10">
      <c r="A110" s="133"/>
      <c r="B110" s="13"/>
      <c r="C110" s="13"/>
      <c r="D110" s="13"/>
      <c r="E110" s="13"/>
      <c r="F110" s="13"/>
      <c r="G110" s="13"/>
      <c r="H110" s="13"/>
      <c r="I110" s="13"/>
      <c r="J110" s="13"/>
    </row>
    <row r="111" spans="1:10">
      <c r="A111" s="133"/>
      <c r="B111" s="13"/>
      <c r="C111" s="13"/>
      <c r="D111" s="13"/>
      <c r="E111" s="13"/>
      <c r="F111" s="13"/>
      <c r="G111" s="13"/>
      <c r="H111" s="13"/>
      <c r="I111" s="13"/>
      <c r="J111" s="13"/>
    </row>
    <row r="112" spans="1:10">
      <c r="A112" s="133"/>
      <c r="B112" s="13"/>
      <c r="C112" s="13"/>
      <c r="D112" s="13"/>
      <c r="E112" s="13"/>
      <c r="F112" s="13"/>
      <c r="G112" s="13"/>
      <c r="H112" s="13"/>
      <c r="I112" s="13"/>
      <c r="J112" s="13"/>
    </row>
    <row r="113" spans="1:10">
      <c r="A113" s="133"/>
      <c r="B113" s="13"/>
      <c r="C113" s="13"/>
      <c r="D113" s="13"/>
      <c r="E113" s="13"/>
      <c r="F113" s="13"/>
      <c r="G113" s="13"/>
      <c r="H113" s="13"/>
      <c r="I113" s="13"/>
      <c r="J113" s="13"/>
    </row>
    <row r="114" spans="1:10">
      <c r="A114" s="133"/>
      <c r="B114" s="13"/>
      <c r="C114" s="13"/>
      <c r="D114" s="13"/>
      <c r="E114" s="13"/>
      <c r="F114" s="13"/>
      <c r="G114" s="13"/>
      <c r="H114" s="13"/>
      <c r="I114" s="13"/>
      <c r="J114" s="13"/>
    </row>
    <row r="115" spans="1:10">
      <c r="A115" s="133"/>
      <c r="B115" s="13"/>
      <c r="C115" s="13"/>
      <c r="D115" s="13"/>
      <c r="E115" s="13"/>
      <c r="F115" s="13"/>
      <c r="G115" s="13"/>
      <c r="H115" s="13"/>
      <c r="I115" s="13"/>
      <c r="J115" s="13"/>
    </row>
    <row r="116" spans="1:10">
      <c r="A116" s="133"/>
      <c r="B116" s="13"/>
      <c r="C116" s="13"/>
      <c r="D116" s="13"/>
      <c r="E116" s="13"/>
      <c r="F116" s="13"/>
      <c r="G116" s="13"/>
      <c r="H116" s="13"/>
      <c r="I116" s="13"/>
      <c r="J116" s="13"/>
    </row>
    <row r="117" spans="1:10">
      <c r="A117" s="133"/>
      <c r="B117" s="13"/>
      <c r="C117" s="13"/>
      <c r="D117" s="13"/>
      <c r="E117" s="13"/>
      <c r="F117" s="13"/>
      <c r="G117" s="13"/>
      <c r="H117" s="13"/>
      <c r="I117" s="13"/>
      <c r="J117" s="13"/>
    </row>
    <row r="118" spans="1:10">
      <c r="A118" s="133"/>
      <c r="B118" s="13"/>
      <c r="C118" s="13"/>
      <c r="D118" s="13"/>
      <c r="E118" s="13"/>
      <c r="F118" s="13"/>
      <c r="G118" s="13"/>
      <c r="H118" s="13"/>
      <c r="I118" s="13"/>
      <c r="J118" s="13"/>
    </row>
    <row r="119" spans="1:10">
      <c r="A119" s="133"/>
      <c r="B119" s="13"/>
      <c r="C119" s="13"/>
      <c r="D119" s="13"/>
      <c r="E119" s="13"/>
      <c r="F119" s="13"/>
      <c r="G119" s="13"/>
      <c r="H119" s="13"/>
      <c r="I119" s="13"/>
      <c r="J119" s="13"/>
    </row>
    <row r="120" spans="1:10">
      <c r="A120" s="133"/>
      <c r="B120" s="13"/>
      <c r="C120" s="13"/>
      <c r="D120" s="13"/>
      <c r="E120" s="13"/>
      <c r="F120" s="13"/>
      <c r="G120" s="13"/>
      <c r="H120" s="13"/>
      <c r="I120" s="13"/>
      <c r="J120" s="13"/>
    </row>
    <row r="121" spans="1:10">
      <c r="A121" s="133"/>
      <c r="B121" s="13"/>
      <c r="C121" s="13"/>
      <c r="D121" s="13"/>
      <c r="E121" s="13"/>
      <c r="F121" s="13"/>
      <c r="G121" s="13"/>
      <c r="H121" s="13"/>
      <c r="I121" s="13"/>
      <c r="J121" s="13"/>
    </row>
    <row r="122" spans="1:10">
      <c r="A122" s="133"/>
      <c r="B122" s="13"/>
      <c r="C122" s="13"/>
      <c r="D122" s="13"/>
      <c r="E122" s="13"/>
      <c r="F122" s="13"/>
      <c r="G122" s="13"/>
      <c r="H122" s="13"/>
      <c r="I122" s="13"/>
      <c r="J122" s="13"/>
    </row>
    <row r="123" spans="1:10">
      <c r="A123" s="133"/>
      <c r="B123" s="13"/>
      <c r="C123" s="13"/>
      <c r="D123" s="13"/>
      <c r="E123" s="13"/>
      <c r="F123" s="13"/>
      <c r="G123" s="13"/>
      <c r="H123" s="13"/>
      <c r="I123" s="13"/>
      <c r="J123" s="13"/>
    </row>
    <row r="124" spans="1:10">
      <c r="A124" s="133"/>
      <c r="B124" s="13"/>
      <c r="C124" s="13"/>
      <c r="D124" s="13"/>
      <c r="E124" s="13"/>
      <c r="F124" s="13"/>
      <c r="G124" s="13"/>
      <c r="H124" s="13"/>
      <c r="I124" s="13"/>
      <c r="J124" s="13"/>
    </row>
    <row r="125" spans="1:10">
      <c r="A125" s="133"/>
      <c r="B125" s="13"/>
      <c r="C125" s="13"/>
      <c r="D125" s="13"/>
      <c r="E125" s="13"/>
      <c r="F125" s="13"/>
      <c r="G125" s="13"/>
      <c r="H125" s="13"/>
      <c r="I125" s="13"/>
      <c r="J125" s="13"/>
    </row>
    <row r="126" spans="1:10">
      <c r="A126" s="133"/>
      <c r="B126" s="13"/>
      <c r="C126" s="13"/>
      <c r="D126" s="13"/>
      <c r="E126" s="13"/>
      <c r="F126" s="13"/>
      <c r="G126" s="13"/>
      <c r="H126" s="13"/>
      <c r="I126" s="13"/>
      <c r="J126" s="13"/>
    </row>
    <row r="127" spans="1:10">
      <c r="A127" s="133"/>
      <c r="B127" s="13"/>
      <c r="C127" s="13"/>
      <c r="D127" s="13"/>
      <c r="E127" s="13"/>
      <c r="F127" s="13"/>
      <c r="G127" s="13"/>
      <c r="H127" s="13"/>
      <c r="I127" s="13"/>
      <c r="J127" s="13"/>
    </row>
    <row r="128" spans="1:10">
      <c r="A128" s="133"/>
      <c r="B128" s="13"/>
      <c r="C128" s="13"/>
      <c r="D128" s="13"/>
      <c r="E128" s="13"/>
      <c r="F128" s="13"/>
      <c r="G128" s="13"/>
      <c r="H128" s="13"/>
      <c r="I128" s="13"/>
      <c r="J128" s="13"/>
    </row>
    <row r="129" spans="1:10">
      <c r="A129" s="133"/>
      <c r="B129" s="13"/>
      <c r="C129" s="13"/>
      <c r="D129" s="13"/>
      <c r="E129" s="13"/>
      <c r="F129" s="13"/>
      <c r="G129" s="13"/>
      <c r="H129" s="13"/>
      <c r="I129" s="13"/>
      <c r="J129" s="13"/>
    </row>
    <row r="130" spans="1:10">
      <c r="A130" s="133"/>
      <c r="B130" s="13"/>
      <c r="C130" s="13"/>
      <c r="D130" s="13"/>
      <c r="E130" s="13"/>
      <c r="F130" s="13"/>
      <c r="G130" s="13"/>
      <c r="H130" s="13"/>
      <c r="I130" s="13"/>
      <c r="J130" s="13"/>
    </row>
    <row r="131" spans="1:10">
      <c r="A131" s="133"/>
      <c r="B131" s="13"/>
      <c r="C131" s="13"/>
      <c r="D131" s="13"/>
      <c r="E131" s="13"/>
      <c r="F131" s="13"/>
      <c r="G131" s="13"/>
      <c r="H131" s="13"/>
      <c r="I131" s="13"/>
      <c r="J131" s="13"/>
    </row>
    <row r="132" spans="1:10">
      <c r="A132" s="133"/>
      <c r="B132" s="13"/>
      <c r="C132" s="13"/>
      <c r="D132" s="13"/>
      <c r="E132" s="13"/>
      <c r="F132" s="13"/>
      <c r="G132" s="13"/>
      <c r="H132" s="13"/>
      <c r="I132" s="13"/>
      <c r="J132" s="13"/>
    </row>
    <row r="133" spans="1:10">
      <c r="A133" s="133"/>
      <c r="B133" s="13"/>
      <c r="C133" s="13"/>
      <c r="D133" s="13"/>
      <c r="E133" s="13"/>
      <c r="F133" s="13"/>
      <c r="G133" s="13"/>
      <c r="H133" s="13"/>
      <c r="I133" s="13"/>
      <c r="J133" s="13"/>
    </row>
    <row r="134" spans="1:10">
      <c r="A134" s="133"/>
      <c r="B134" s="13"/>
      <c r="C134" s="13"/>
      <c r="D134" s="13"/>
      <c r="E134" s="13"/>
      <c r="F134" s="13"/>
      <c r="G134" s="13"/>
      <c r="H134" s="13"/>
      <c r="I134" s="13"/>
      <c r="J134" s="13"/>
    </row>
    <row r="135" spans="1:10">
      <c r="A135" s="133"/>
      <c r="B135" s="13"/>
      <c r="C135" s="13"/>
      <c r="D135" s="13"/>
      <c r="E135" s="13"/>
      <c r="F135" s="13"/>
      <c r="G135" s="13"/>
      <c r="H135" s="13"/>
      <c r="I135" s="13"/>
      <c r="J135" s="13"/>
    </row>
    <row r="136" spans="1:10">
      <c r="A136" s="133"/>
      <c r="B136" s="13"/>
      <c r="C136" s="13"/>
      <c r="D136" s="13"/>
      <c r="E136" s="13"/>
      <c r="F136" s="13"/>
      <c r="G136" s="13"/>
      <c r="H136" s="13"/>
      <c r="I136" s="13"/>
      <c r="J136" s="13"/>
    </row>
    <row r="137" spans="1:10">
      <c r="A137" s="133"/>
      <c r="B137" s="13"/>
      <c r="C137" s="13"/>
      <c r="D137" s="13"/>
      <c r="E137" s="13"/>
      <c r="F137" s="13"/>
      <c r="G137" s="13"/>
      <c r="H137" s="13"/>
      <c r="I137" s="13"/>
      <c r="J137" s="13"/>
    </row>
    <row r="138" spans="1:10">
      <c r="A138" s="133"/>
      <c r="B138" s="13"/>
      <c r="C138" s="13"/>
      <c r="D138" s="13"/>
      <c r="E138" s="13"/>
      <c r="F138" s="13"/>
      <c r="G138" s="13"/>
      <c r="H138" s="13"/>
      <c r="I138" s="13"/>
      <c r="J138" s="13"/>
    </row>
    <row r="139" spans="1:10">
      <c r="A139" s="133"/>
      <c r="B139" s="13"/>
      <c r="C139" s="13"/>
      <c r="D139" s="13"/>
      <c r="E139" s="13"/>
      <c r="F139" s="13"/>
      <c r="G139" s="13"/>
      <c r="H139" s="13"/>
      <c r="I139" s="13"/>
      <c r="J139" s="13"/>
    </row>
    <row r="140" spans="1:10">
      <c r="A140" s="133"/>
      <c r="B140" s="13"/>
      <c r="C140" s="13"/>
      <c r="D140" s="13"/>
      <c r="E140" s="13"/>
      <c r="F140" s="13"/>
      <c r="G140" s="13"/>
      <c r="H140" s="13"/>
      <c r="I140" s="13"/>
      <c r="J140" s="13"/>
    </row>
    <row r="141" spans="1:10">
      <c r="A141" s="133"/>
      <c r="B141" s="13"/>
      <c r="C141" s="13"/>
      <c r="D141" s="13"/>
      <c r="E141" s="13"/>
      <c r="F141" s="13"/>
      <c r="G141" s="13"/>
      <c r="H141" s="13"/>
      <c r="I141" s="13"/>
      <c r="J141" s="13"/>
    </row>
    <row r="142" spans="1:10">
      <c r="A142" s="133"/>
      <c r="B142" s="13"/>
      <c r="C142" s="13"/>
      <c r="D142" s="13"/>
      <c r="E142" s="13"/>
      <c r="F142" s="13"/>
      <c r="G142" s="13"/>
      <c r="H142" s="13"/>
      <c r="I142" s="13"/>
      <c r="J142" s="13"/>
    </row>
    <row r="143" spans="1:10">
      <c r="A143" s="133"/>
      <c r="B143" s="13"/>
      <c r="C143" s="13"/>
      <c r="D143" s="13"/>
      <c r="E143" s="13"/>
      <c r="F143" s="13"/>
      <c r="G143" s="13"/>
      <c r="H143" s="13"/>
      <c r="I143" s="13"/>
      <c r="J143" s="13"/>
    </row>
    <row r="144" spans="1:10">
      <c r="A144" s="133"/>
      <c r="B144" s="13"/>
      <c r="C144" s="13"/>
      <c r="D144" s="13"/>
      <c r="E144" s="13"/>
      <c r="F144" s="13"/>
      <c r="G144" s="13"/>
      <c r="H144" s="13"/>
      <c r="I144" s="13"/>
      <c r="J144" s="13"/>
    </row>
    <row r="145" spans="1:10">
      <c r="A145" s="133"/>
      <c r="B145" s="13"/>
      <c r="C145" s="13"/>
      <c r="D145" s="13"/>
      <c r="E145" s="13"/>
      <c r="F145" s="13"/>
      <c r="G145" s="13"/>
      <c r="H145" s="13"/>
      <c r="I145" s="13"/>
      <c r="J145" s="13"/>
    </row>
    <row r="146" spans="1:10">
      <c r="A146" s="133"/>
      <c r="B146" s="13"/>
      <c r="C146" s="13"/>
      <c r="D146" s="13"/>
      <c r="E146" s="13"/>
      <c r="F146" s="13"/>
      <c r="G146" s="13"/>
      <c r="H146" s="13"/>
      <c r="I146" s="13"/>
      <c r="J146" s="13"/>
    </row>
    <row r="147" spans="1:10">
      <c r="A147" s="133"/>
      <c r="B147" s="13"/>
      <c r="C147" s="13"/>
      <c r="D147" s="13"/>
      <c r="E147" s="13"/>
      <c r="F147" s="13"/>
      <c r="G147" s="13"/>
      <c r="H147" s="13"/>
      <c r="I147" s="13"/>
      <c r="J147" s="13"/>
    </row>
    <row r="148" spans="1:10">
      <c r="A148" s="133"/>
      <c r="B148" s="13"/>
      <c r="C148" s="13"/>
      <c r="D148" s="13"/>
      <c r="E148" s="13"/>
      <c r="F148" s="13"/>
      <c r="G148" s="13"/>
      <c r="H148" s="13"/>
      <c r="I148" s="13"/>
      <c r="J148" s="13"/>
    </row>
    <row r="149" spans="1:10">
      <c r="A149" s="133"/>
      <c r="B149" s="13"/>
      <c r="C149" s="13"/>
      <c r="D149" s="13"/>
      <c r="E149" s="13"/>
      <c r="F149" s="13"/>
      <c r="G149" s="13"/>
      <c r="H149" s="13"/>
      <c r="I149" s="13"/>
      <c r="J149" s="13"/>
    </row>
    <row r="150" spans="1:10">
      <c r="A150" s="133"/>
      <c r="B150" s="13"/>
      <c r="C150" s="13"/>
      <c r="D150" s="13"/>
      <c r="E150" s="13"/>
      <c r="F150" s="13"/>
      <c r="G150" s="13"/>
      <c r="H150" s="13"/>
      <c r="I150" s="13"/>
      <c r="J150" s="13"/>
    </row>
    <row r="151" spans="1:10">
      <c r="A151" s="133"/>
      <c r="B151" s="13"/>
      <c r="C151" s="13"/>
      <c r="D151" s="13"/>
      <c r="E151" s="13"/>
      <c r="F151" s="13"/>
      <c r="G151" s="13"/>
      <c r="H151" s="13"/>
      <c r="I151" s="13"/>
      <c r="J151" s="13"/>
    </row>
    <row r="152" spans="1:10">
      <c r="A152" s="133"/>
      <c r="B152" s="13"/>
      <c r="C152" s="13"/>
      <c r="D152" s="13"/>
      <c r="E152" s="13"/>
      <c r="F152" s="13"/>
      <c r="G152" s="13"/>
      <c r="H152" s="13"/>
      <c r="I152" s="13"/>
      <c r="J152" s="13"/>
    </row>
    <row r="153" spans="1:10">
      <c r="A153" s="133"/>
      <c r="B153" s="13"/>
      <c r="C153" s="13"/>
      <c r="D153" s="13"/>
      <c r="E153" s="13"/>
      <c r="F153" s="13"/>
      <c r="G153" s="13"/>
      <c r="H153" s="13"/>
      <c r="I153" s="13"/>
      <c r="J153" s="13"/>
    </row>
    <row r="154" spans="1:10">
      <c r="A154" s="133"/>
      <c r="B154" s="13"/>
      <c r="C154" s="13"/>
      <c r="D154" s="13"/>
      <c r="E154" s="13"/>
      <c r="F154" s="13"/>
      <c r="G154" s="13"/>
      <c r="H154" s="13"/>
      <c r="I154" s="13"/>
      <c r="J154" s="13"/>
    </row>
    <row r="155" spans="1:10">
      <c r="A155" s="133"/>
      <c r="B155" s="13"/>
      <c r="C155" s="13"/>
      <c r="D155" s="13"/>
      <c r="E155" s="13"/>
      <c r="F155" s="13"/>
      <c r="G155" s="13"/>
      <c r="H155" s="13"/>
      <c r="I155" s="13"/>
      <c r="J155" s="13"/>
    </row>
    <row r="156" spans="1:10">
      <c r="A156" s="133"/>
      <c r="B156" s="13"/>
      <c r="C156" s="13"/>
      <c r="D156" s="13"/>
      <c r="E156" s="13"/>
      <c r="F156" s="13"/>
      <c r="G156" s="13"/>
      <c r="H156" s="13"/>
      <c r="I156" s="13"/>
      <c r="J156" s="13"/>
    </row>
    <row r="157" spans="1:10">
      <c r="A157" s="133"/>
      <c r="B157" s="13"/>
      <c r="C157" s="13"/>
      <c r="D157" s="13"/>
      <c r="E157" s="13"/>
      <c r="F157" s="13"/>
      <c r="G157" s="13"/>
      <c r="H157" s="13"/>
      <c r="I157" s="13"/>
      <c r="J157" s="13"/>
    </row>
    <row r="158" spans="1:10">
      <c r="A158" s="133"/>
      <c r="B158" s="13"/>
      <c r="C158" s="13"/>
      <c r="D158" s="13"/>
      <c r="E158" s="13"/>
      <c r="F158" s="13"/>
      <c r="G158" s="13"/>
      <c r="H158" s="13"/>
      <c r="I158" s="13"/>
      <c r="J158" s="13"/>
    </row>
    <row r="159" spans="1:10">
      <c r="A159" s="133"/>
      <c r="B159" s="13"/>
      <c r="C159" s="13"/>
      <c r="D159" s="13"/>
      <c r="E159" s="13"/>
      <c r="F159" s="13"/>
      <c r="G159" s="13"/>
      <c r="H159" s="13"/>
      <c r="I159" s="13"/>
      <c r="J159" s="13"/>
    </row>
    <row r="160" spans="1:10">
      <c r="A160" s="133"/>
      <c r="B160" s="13"/>
      <c r="C160" s="13"/>
      <c r="D160" s="13"/>
      <c r="E160" s="13"/>
      <c r="F160" s="13"/>
      <c r="G160" s="13"/>
      <c r="H160" s="13"/>
      <c r="I160" s="13"/>
      <c r="J160" s="13"/>
    </row>
    <row r="161" spans="1:10">
      <c r="A161" s="133"/>
      <c r="B161" s="13"/>
      <c r="C161" s="13"/>
      <c r="D161" s="13"/>
      <c r="E161" s="13"/>
      <c r="F161" s="13"/>
      <c r="G161" s="13"/>
      <c r="H161" s="13"/>
      <c r="I161" s="13"/>
      <c r="J161" s="13"/>
    </row>
    <row r="162" spans="1:10">
      <c r="A162" s="133"/>
      <c r="B162" s="13"/>
      <c r="C162" s="13"/>
      <c r="D162" s="13"/>
      <c r="E162" s="13"/>
      <c r="F162" s="13"/>
      <c r="G162" s="13"/>
      <c r="H162" s="13"/>
      <c r="I162" s="13"/>
      <c r="J162" s="13"/>
    </row>
    <row r="163" spans="1:10">
      <c r="A163" s="133"/>
      <c r="B163" s="13"/>
      <c r="C163" s="13"/>
      <c r="D163" s="13"/>
      <c r="E163" s="13"/>
      <c r="F163" s="13"/>
      <c r="G163" s="13"/>
      <c r="H163" s="13"/>
      <c r="I163" s="13"/>
      <c r="J163" s="13"/>
    </row>
    <row r="164" spans="1:10">
      <c r="A164" s="133"/>
      <c r="B164" s="13"/>
      <c r="C164" s="13"/>
      <c r="D164" s="13"/>
      <c r="E164" s="13"/>
      <c r="F164" s="13"/>
      <c r="G164" s="13"/>
      <c r="H164" s="13"/>
      <c r="I164" s="13"/>
      <c r="J164" s="13"/>
    </row>
    <row r="165" spans="1:10">
      <c r="A165" s="133"/>
      <c r="B165" s="13"/>
      <c r="C165" s="13"/>
      <c r="D165" s="13"/>
      <c r="E165" s="13"/>
      <c r="F165" s="13"/>
      <c r="G165" s="13"/>
      <c r="H165" s="13"/>
      <c r="I165" s="13"/>
      <c r="J165" s="13"/>
    </row>
    <row r="166" spans="1:10">
      <c r="A166" s="133"/>
      <c r="B166" s="13"/>
      <c r="C166" s="13"/>
      <c r="D166" s="13"/>
      <c r="E166" s="13"/>
      <c r="F166" s="13"/>
      <c r="G166" s="13"/>
      <c r="H166" s="13"/>
      <c r="I166" s="13"/>
      <c r="J166" s="13"/>
    </row>
    <row r="167" spans="1:10">
      <c r="A167" s="133"/>
      <c r="B167" s="13"/>
      <c r="C167" s="13"/>
      <c r="D167" s="13"/>
      <c r="E167" s="13"/>
      <c r="F167" s="13"/>
      <c r="G167" s="13"/>
      <c r="H167" s="13"/>
      <c r="I167" s="13"/>
      <c r="J167" s="13"/>
    </row>
    <row r="168" spans="1:10">
      <c r="A168" s="133"/>
      <c r="B168" s="13"/>
      <c r="C168" s="13"/>
      <c r="D168" s="13"/>
      <c r="E168" s="13"/>
      <c r="F168" s="13"/>
      <c r="G168" s="13"/>
      <c r="H168" s="13"/>
      <c r="I168" s="13"/>
      <c r="J168" s="13"/>
    </row>
    <row r="169" spans="1:10">
      <c r="A169" s="133"/>
      <c r="B169" s="13"/>
      <c r="C169" s="13"/>
      <c r="D169" s="13"/>
      <c r="E169" s="13"/>
      <c r="F169" s="13"/>
      <c r="G169" s="13"/>
      <c r="H169" s="13"/>
      <c r="I169" s="13"/>
      <c r="J169" s="13"/>
    </row>
    <row r="170" spans="1:10">
      <c r="A170" s="133"/>
      <c r="B170" s="13"/>
      <c r="C170" s="13"/>
      <c r="D170" s="13"/>
      <c r="E170" s="13"/>
      <c r="F170" s="13"/>
      <c r="G170" s="13"/>
      <c r="H170" s="13"/>
      <c r="I170" s="13"/>
      <c r="J170" s="13"/>
    </row>
    <row r="171" spans="1:10">
      <c r="A171" s="133"/>
      <c r="B171" s="13"/>
      <c r="C171" s="13"/>
      <c r="D171" s="13"/>
      <c r="E171" s="13"/>
      <c r="F171" s="13"/>
      <c r="G171" s="13"/>
      <c r="H171" s="13"/>
      <c r="I171" s="13"/>
      <c r="J171" s="13"/>
    </row>
    <row r="172" spans="1:10">
      <c r="A172" s="133"/>
      <c r="B172" s="13"/>
      <c r="C172" s="13"/>
      <c r="D172" s="13"/>
      <c r="E172" s="13"/>
      <c r="F172" s="13"/>
      <c r="G172" s="13"/>
      <c r="H172" s="13"/>
      <c r="I172" s="13"/>
      <c r="J172" s="13"/>
    </row>
    <row r="173" spans="1:10">
      <c r="A173" s="133"/>
      <c r="B173" s="13"/>
      <c r="C173" s="13"/>
      <c r="D173" s="13"/>
      <c r="E173" s="13"/>
      <c r="F173" s="13"/>
      <c r="G173" s="13"/>
      <c r="H173" s="13"/>
      <c r="I173" s="13"/>
      <c r="J173" s="13"/>
    </row>
    <row r="174" spans="1:10">
      <c r="A174" s="133"/>
      <c r="B174" s="13"/>
      <c r="C174" s="13"/>
      <c r="D174" s="13"/>
      <c r="E174" s="13"/>
      <c r="F174" s="13"/>
      <c r="G174" s="13"/>
      <c r="H174" s="13"/>
      <c r="I174" s="13"/>
      <c r="J174" s="13"/>
    </row>
    <row r="175" spans="1:10">
      <c r="A175" s="133"/>
      <c r="B175" s="13"/>
      <c r="C175" s="13"/>
      <c r="D175" s="13"/>
      <c r="E175" s="13"/>
      <c r="F175" s="13"/>
      <c r="G175" s="13"/>
      <c r="H175" s="13"/>
      <c r="I175" s="13"/>
      <c r="J175" s="13"/>
    </row>
    <row r="176" spans="1:10">
      <c r="A176" s="133"/>
      <c r="B176" s="13"/>
      <c r="C176" s="13"/>
      <c r="D176" s="13"/>
      <c r="E176" s="13"/>
      <c r="F176" s="13"/>
      <c r="G176" s="13"/>
      <c r="H176" s="13"/>
      <c r="I176" s="13"/>
      <c r="J176" s="13"/>
    </row>
    <row r="177" spans="1:10">
      <c r="A177" s="133"/>
      <c r="B177" s="13"/>
      <c r="C177" s="13"/>
      <c r="D177" s="13"/>
      <c r="E177" s="13"/>
      <c r="F177" s="13"/>
      <c r="G177" s="13"/>
      <c r="H177" s="13"/>
      <c r="I177" s="13"/>
      <c r="J177" s="13"/>
    </row>
    <row r="178" spans="1:10">
      <c r="A178" s="133"/>
      <c r="B178" s="13"/>
      <c r="C178" s="13"/>
      <c r="D178" s="13"/>
      <c r="E178" s="13"/>
      <c r="F178" s="13"/>
      <c r="G178" s="13"/>
      <c r="H178" s="13"/>
      <c r="I178" s="13"/>
      <c r="J178" s="13"/>
    </row>
    <row r="179" spans="1:10">
      <c r="A179" s="133"/>
      <c r="B179" s="13"/>
      <c r="C179" s="13"/>
      <c r="D179" s="13"/>
      <c r="E179" s="13"/>
      <c r="F179" s="13"/>
      <c r="G179" s="13"/>
      <c r="H179" s="13"/>
      <c r="I179" s="13"/>
      <c r="J179" s="13"/>
    </row>
    <row r="180" spans="1:10">
      <c r="A180" s="133"/>
      <c r="B180" s="13"/>
      <c r="C180" s="13"/>
      <c r="D180" s="13"/>
      <c r="E180" s="13"/>
      <c r="F180" s="13"/>
      <c r="G180" s="13"/>
      <c r="H180" s="13"/>
      <c r="I180" s="13"/>
      <c r="J180" s="13"/>
    </row>
    <row r="181" spans="1:10">
      <c r="A181" s="133"/>
      <c r="B181" s="13"/>
      <c r="C181" s="13"/>
      <c r="D181" s="13"/>
      <c r="E181" s="13"/>
      <c r="F181" s="13"/>
      <c r="G181" s="13"/>
      <c r="H181" s="13"/>
      <c r="I181" s="13"/>
      <c r="J181" s="13"/>
    </row>
    <row r="182" spans="1:10">
      <c r="A182" s="133"/>
      <c r="B182" s="13"/>
      <c r="C182" s="13"/>
      <c r="D182" s="13"/>
      <c r="E182" s="13"/>
      <c r="F182" s="13"/>
      <c r="G182" s="13"/>
      <c r="H182" s="13"/>
      <c r="I182" s="13"/>
      <c r="J182" s="13"/>
    </row>
    <row r="183" spans="1:10">
      <c r="A183" s="133"/>
      <c r="B183" s="13"/>
      <c r="C183" s="13"/>
      <c r="D183" s="13"/>
      <c r="E183" s="13"/>
      <c r="F183" s="13"/>
      <c r="G183" s="13"/>
      <c r="H183" s="13"/>
      <c r="I183" s="13"/>
      <c r="J183" s="13"/>
    </row>
    <row r="184" spans="1:10">
      <c r="A184" s="133"/>
      <c r="B184" s="13"/>
      <c r="C184" s="13"/>
      <c r="D184" s="13"/>
      <c r="E184" s="13"/>
      <c r="F184" s="13"/>
      <c r="G184" s="13"/>
      <c r="H184" s="13"/>
      <c r="I184" s="13"/>
      <c r="J184" s="13"/>
    </row>
    <row r="185" spans="1:10">
      <c r="A185" s="133"/>
      <c r="B185" s="13"/>
      <c r="C185" s="13"/>
      <c r="D185" s="13"/>
      <c r="E185" s="13"/>
      <c r="F185" s="13"/>
      <c r="G185" s="13"/>
      <c r="H185" s="13"/>
      <c r="I185" s="13"/>
      <c r="J185" s="13"/>
    </row>
    <row r="186" spans="1:10">
      <c r="A186" s="133"/>
      <c r="B186" s="13"/>
      <c r="C186" s="13"/>
      <c r="D186" s="13"/>
      <c r="E186" s="13"/>
      <c r="F186" s="13"/>
      <c r="G186" s="13"/>
      <c r="H186" s="13"/>
      <c r="I186" s="13"/>
      <c r="J186" s="13"/>
    </row>
    <row r="187" spans="1:10">
      <c r="A187" s="133"/>
      <c r="B187" s="13"/>
      <c r="C187" s="13"/>
      <c r="D187" s="13"/>
      <c r="E187" s="13"/>
      <c r="F187" s="13"/>
      <c r="G187" s="13"/>
      <c r="H187" s="13"/>
      <c r="I187" s="13"/>
      <c r="J187" s="13"/>
    </row>
    <row r="188" spans="1:10">
      <c r="A188" s="133"/>
      <c r="B188" s="13"/>
      <c r="C188" s="13"/>
      <c r="D188" s="13"/>
      <c r="E188" s="13"/>
      <c r="F188" s="13"/>
      <c r="G188" s="13"/>
      <c r="H188" s="13"/>
      <c r="I188" s="13"/>
      <c r="J188" s="13"/>
    </row>
    <row r="189" spans="1:10">
      <c r="A189" s="133"/>
      <c r="B189" s="13"/>
      <c r="C189" s="13"/>
      <c r="D189" s="13"/>
      <c r="E189" s="13"/>
      <c r="F189" s="13"/>
      <c r="G189" s="13"/>
      <c r="H189" s="13"/>
      <c r="I189" s="13"/>
      <c r="J189" s="13"/>
    </row>
    <row r="190" spans="1:10">
      <c r="A190" s="133"/>
      <c r="B190" s="13"/>
      <c r="C190" s="13"/>
      <c r="D190" s="13"/>
      <c r="E190" s="13"/>
      <c r="F190" s="13"/>
      <c r="G190" s="13"/>
      <c r="H190" s="13"/>
      <c r="I190" s="13"/>
      <c r="J190" s="13"/>
    </row>
    <row r="191" spans="1:10">
      <c r="A191" s="133"/>
      <c r="B191" s="13"/>
      <c r="C191" s="13"/>
      <c r="D191" s="13"/>
      <c r="E191" s="13"/>
      <c r="F191" s="13"/>
      <c r="G191" s="13"/>
      <c r="H191" s="13"/>
      <c r="I191" s="13"/>
      <c r="J191" s="13"/>
    </row>
    <row r="192" spans="1:10">
      <c r="A192" s="133"/>
      <c r="B192" s="13"/>
      <c r="C192" s="13"/>
      <c r="D192" s="13"/>
      <c r="E192" s="13"/>
      <c r="F192" s="13"/>
      <c r="G192" s="13"/>
      <c r="H192" s="13"/>
      <c r="I192" s="13"/>
      <c r="J192" s="13"/>
    </row>
    <row r="193" spans="1:10">
      <c r="A193" s="133"/>
      <c r="B193" s="13"/>
      <c r="C193" s="13"/>
      <c r="D193" s="13"/>
      <c r="E193" s="13"/>
      <c r="F193" s="13"/>
      <c r="G193" s="13"/>
      <c r="H193" s="13"/>
      <c r="I193" s="13"/>
      <c r="J193" s="13"/>
    </row>
    <row r="194" spans="1:10">
      <c r="A194" s="133"/>
      <c r="B194" s="13"/>
      <c r="C194" s="13"/>
      <c r="D194" s="13"/>
      <c r="E194" s="13"/>
      <c r="F194" s="13"/>
      <c r="G194" s="13"/>
      <c r="H194" s="13"/>
      <c r="I194" s="13"/>
      <c r="J194" s="13"/>
    </row>
    <row r="195" spans="1:10">
      <c r="A195" s="133"/>
      <c r="B195" s="13"/>
      <c r="C195" s="13"/>
      <c r="D195" s="13"/>
      <c r="E195" s="13"/>
      <c r="F195" s="13"/>
      <c r="G195" s="13"/>
      <c r="H195" s="13"/>
      <c r="I195" s="13"/>
      <c r="J195" s="13"/>
    </row>
    <row r="196" spans="1:10">
      <c r="A196" s="133"/>
      <c r="B196" s="13"/>
      <c r="C196" s="13"/>
      <c r="D196" s="13"/>
      <c r="E196" s="13"/>
      <c r="F196" s="13"/>
      <c r="G196" s="13"/>
      <c r="H196" s="13"/>
      <c r="I196" s="13"/>
      <c r="J196" s="13"/>
    </row>
    <row r="197" spans="1:10">
      <c r="A197" s="133"/>
      <c r="B197" s="13"/>
      <c r="C197" s="13"/>
      <c r="D197" s="13"/>
      <c r="E197" s="13"/>
      <c r="F197" s="13"/>
      <c r="G197" s="13"/>
      <c r="H197" s="13"/>
      <c r="I197" s="13"/>
      <c r="J197" s="13"/>
    </row>
    <row r="198" spans="1:10">
      <c r="A198" s="133"/>
      <c r="B198" s="13"/>
      <c r="C198" s="13"/>
      <c r="D198" s="13"/>
      <c r="E198" s="13"/>
      <c r="F198" s="13"/>
      <c r="G198" s="13"/>
      <c r="H198" s="13"/>
      <c r="I198" s="13"/>
      <c r="J198" s="13"/>
    </row>
    <row r="199" spans="1:10">
      <c r="A199" s="133"/>
      <c r="B199" s="13"/>
      <c r="C199" s="13"/>
      <c r="D199" s="13"/>
      <c r="E199" s="13"/>
      <c r="F199" s="13"/>
      <c r="G199" s="13"/>
      <c r="H199" s="13"/>
      <c r="I199" s="13"/>
      <c r="J199" s="13"/>
    </row>
    <row r="200" spans="1:10">
      <c r="A200" s="133"/>
      <c r="B200" s="13"/>
      <c r="C200" s="13"/>
      <c r="D200" s="13"/>
      <c r="E200" s="13"/>
      <c r="F200" s="13"/>
      <c r="G200" s="13"/>
      <c r="H200" s="13"/>
      <c r="I200" s="13"/>
      <c r="J200" s="13"/>
    </row>
    <row r="201" spans="1:10">
      <c r="A201" s="133"/>
      <c r="B201" s="13"/>
      <c r="C201" s="13"/>
      <c r="D201" s="13"/>
      <c r="E201" s="13"/>
      <c r="F201" s="13"/>
      <c r="G201" s="13"/>
      <c r="H201" s="13"/>
      <c r="I201" s="13"/>
      <c r="J201" s="13"/>
    </row>
    <row r="202" spans="1:10">
      <c r="A202" s="133"/>
      <c r="B202" s="13"/>
      <c r="C202" s="13"/>
      <c r="D202" s="13"/>
      <c r="E202" s="13"/>
      <c r="F202" s="13"/>
      <c r="G202" s="13"/>
      <c r="H202" s="13"/>
      <c r="I202" s="13"/>
      <c r="J202" s="13"/>
    </row>
    <row r="203" spans="1:10">
      <c r="A203" s="133"/>
      <c r="B203" s="13"/>
      <c r="C203" s="13"/>
      <c r="D203" s="13"/>
      <c r="E203" s="13"/>
      <c r="F203" s="13"/>
      <c r="G203" s="13"/>
      <c r="H203" s="13"/>
      <c r="I203" s="13"/>
      <c r="J203" s="13"/>
    </row>
    <row r="204" spans="1:10">
      <c r="A204" s="133"/>
      <c r="B204" s="13"/>
      <c r="C204" s="13"/>
      <c r="D204" s="13"/>
      <c r="E204" s="13"/>
      <c r="F204" s="13"/>
      <c r="G204" s="13"/>
      <c r="H204" s="13"/>
      <c r="I204" s="13"/>
      <c r="J204" s="13"/>
    </row>
    <row r="205" spans="1:10">
      <c r="A205" s="133"/>
      <c r="B205" s="13"/>
      <c r="C205" s="13"/>
      <c r="D205" s="13"/>
      <c r="E205" s="13"/>
      <c r="F205" s="13"/>
      <c r="G205" s="13"/>
      <c r="H205" s="13"/>
      <c r="I205" s="13"/>
      <c r="J205" s="13"/>
    </row>
    <row r="206" spans="1:10">
      <c r="A206" s="133"/>
      <c r="B206" s="13"/>
      <c r="C206" s="13"/>
      <c r="D206" s="13"/>
      <c r="E206" s="13"/>
      <c r="F206" s="13"/>
      <c r="G206" s="13"/>
      <c r="H206" s="13"/>
      <c r="I206" s="13"/>
      <c r="J206" s="13"/>
    </row>
    <row r="207" spans="1:10">
      <c r="A207" s="133"/>
      <c r="B207" s="13"/>
      <c r="C207" s="13"/>
      <c r="D207" s="13"/>
      <c r="E207" s="13"/>
      <c r="F207" s="13"/>
      <c r="G207" s="13"/>
      <c r="H207" s="13"/>
      <c r="I207" s="13"/>
      <c r="J207" s="13"/>
    </row>
    <row r="208" spans="1:10">
      <c r="A208" s="133"/>
      <c r="B208" s="13"/>
      <c r="C208" s="13"/>
      <c r="D208" s="13"/>
      <c r="E208" s="13"/>
      <c r="F208" s="13"/>
      <c r="G208" s="13"/>
      <c r="H208" s="13"/>
      <c r="I208" s="13"/>
      <c r="J208" s="13"/>
    </row>
    <row r="209" spans="1:10">
      <c r="A209" s="133"/>
      <c r="B209" s="13"/>
      <c r="C209" s="13"/>
      <c r="D209" s="13"/>
      <c r="E209" s="13"/>
      <c r="F209" s="13"/>
      <c r="G209" s="13"/>
      <c r="H209" s="13"/>
      <c r="I209" s="13"/>
      <c r="J209" s="13"/>
    </row>
    <row r="210" spans="1:10">
      <c r="A210" s="133"/>
      <c r="B210" s="13"/>
      <c r="C210" s="13"/>
      <c r="D210" s="13"/>
      <c r="E210" s="13"/>
      <c r="F210" s="13"/>
      <c r="G210" s="13"/>
      <c r="H210" s="13"/>
      <c r="I210" s="13"/>
      <c r="J210" s="13"/>
    </row>
    <row r="211" spans="1:10">
      <c r="A211" s="133"/>
      <c r="B211" s="13"/>
      <c r="C211" s="13"/>
      <c r="D211" s="13"/>
      <c r="E211" s="13"/>
      <c r="F211" s="13"/>
      <c r="G211" s="13"/>
      <c r="H211" s="13"/>
      <c r="I211" s="13"/>
      <c r="J211" s="13"/>
    </row>
    <row r="212" spans="1:10">
      <c r="A212" s="133"/>
      <c r="B212" s="13"/>
      <c r="C212" s="13"/>
      <c r="D212" s="13"/>
      <c r="E212" s="13"/>
      <c r="F212" s="13"/>
      <c r="G212" s="13"/>
      <c r="H212" s="13"/>
      <c r="I212" s="13"/>
      <c r="J212" s="13"/>
    </row>
    <row r="213" spans="1:10">
      <c r="A213" s="133"/>
      <c r="B213" s="13"/>
      <c r="C213" s="13"/>
      <c r="D213" s="13"/>
      <c r="E213" s="13"/>
      <c r="F213" s="13"/>
      <c r="G213" s="13"/>
      <c r="H213" s="13"/>
      <c r="I213" s="13"/>
      <c r="J213" s="13"/>
    </row>
    <row r="214" spans="1:10">
      <c r="A214" s="133"/>
      <c r="B214" s="13"/>
      <c r="C214" s="13"/>
      <c r="D214" s="13"/>
      <c r="E214" s="13"/>
      <c r="F214" s="13"/>
      <c r="G214" s="13"/>
      <c r="H214" s="13"/>
      <c r="I214" s="13"/>
      <c r="J214" s="13"/>
    </row>
    <row r="215" spans="1:10">
      <c r="A215" s="133"/>
      <c r="B215" s="13"/>
      <c r="C215" s="13"/>
      <c r="D215" s="13"/>
      <c r="E215" s="13"/>
      <c r="F215" s="13"/>
      <c r="G215" s="13"/>
      <c r="H215" s="13"/>
      <c r="I215" s="13"/>
      <c r="J215" s="13"/>
    </row>
    <row r="216" spans="1:10">
      <c r="A216" s="133"/>
      <c r="B216" s="13"/>
      <c r="C216" s="13"/>
      <c r="D216" s="13"/>
      <c r="E216" s="13"/>
      <c r="F216" s="13"/>
      <c r="G216" s="13"/>
      <c r="H216" s="13"/>
      <c r="I216" s="13"/>
      <c r="J216" s="13"/>
    </row>
    <row r="217" spans="1:10">
      <c r="A217" s="133"/>
      <c r="B217" s="13"/>
      <c r="C217" s="13"/>
      <c r="D217" s="13"/>
      <c r="E217" s="13"/>
      <c r="F217" s="13"/>
      <c r="G217" s="13"/>
      <c r="H217" s="13"/>
      <c r="I217" s="13"/>
      <c r="J217" s="13"/>
    </row>
    <row r="218" spans="1:10">
      <c r="A218" s="133"/>
      <c r="B218" s="13"/>
      <c r="C218" s="13"/>
      <c r="D218" s="13"/>
      <c r="E218" s="13"/>
      <c r="F218" s="13"/>
      <c r="G218" s="13"/>
      <c r="H218" s="13"/>
      <c r="I218" s="13"/>
      <c r="J218" s="13"/>
    </row>
    <row r="219" spans="1:10">
      <c r="A219" s="133"/>
      <c r="B219" s="13"/>
      <c r="C219" s="13"/>
      <c r="D219" s="13"/>
      <c r="E219" s="13"/>
      <c r="F219" s="13"/>
      <c r="G219" s="13"/>
      <c r="H219" s="13"/>
      <c r="I219" s="13"/>
      <c r="J219" s="13"/>
    </row>
    <row r="220" spans="1:10">
      <c r="A220" s="133"/>
      <c r="B220" s="13"/>
      <c r="C220" s="13"/>
      <c r="D220" s="13"/>
      <c r="E220" s="13"/>
      <c r="F220" s="13"/>
      <c r="G220" s="13"/>
      <c r="H220" s="13"/>
      <c r="I220" s="13"/>
      <c r="J220" s="13"/>
    </row>
    <row r="221" spans="1:10">
      <c r="A221" s="133"/>
      <c r="B221" s="13"/>
      <c r="C221" s="13"/>
      <c r="D221" s="13"/>
      <c r="E221" s="13"/>
      <c r="F221" s="13"/>
      <c r="G221" s="13"/>
      <c r="H221" s="13"/>
      <c r="I221" s="13"/>
      <c r="J221" s="13"/>
    </row>
    <row r="222" spans="1:10">
      <c r="A222" s="133"/>
      <c r="B222" s="13"/>
      <c r="C222" s="13"/>
      <c r="D222" s="13"/>
      <c r="E222" s="13"/>
      <c r="F222" s="13"/>
      <c r="G222" s="13"/>
      <c r="H222" s="13"/>
      <c r="I222" s="13"/>
      <c r="J222" s="13"/>
    </row>
    <row r="223" spans="1:10">
      <c r="A223" s="133"/>
      <c r="B223" s="13"/>
      <c r="C223" s="13"/>
      <c r="D223" s="13"/>
      <c r="E223" s="13"/>
      <c r="F223" s="13"/>
      <c r="G223" s="13"/>
      <c r="H223" s="13"/>
      <c r="I223" s="13"/>
      <c r="J223" s="13"/>
    </row>
    <row r="224" spans="1:10">
      <c r="A224" s="133"/>
      <c r="B224" s="13"/>
      <c r="C224" s="13"/>
      <c r="D224" s="13"/>
      <c r="E224" s="13"/>
      <c r="F224" s="13"/>
      <c r="G224" s="13"/>
      <c r="H224" s="13"/>
      <c r="I224" s="13"/>
      <c r="J224" s="13"/>
    </row>
    <row r="225" spans="1:10">
      <c r="A225" s="133"/>
      <c r="B225" s="13"/>
      <c r="C225" s="13"/>
      <c r="D225" s="13"/>
      <c r="E225" s="13"/>
      <c r="F225" s="13"/>
      <c r="G225" s="13"/>
      <c r="H225" s="13"/>
      <c r="I225" s="13"/>
      <c r="J225" s="13"/>
    </row>
    <row r="226" spans="1:10">
      <c r="A226" s="133"/>
      <c r="B226" s="13"/>
      <c r="C226" s="13"/>
      <c r="D226" s="13"/>
      <c r="E226" s="13"/>
      <c r="F226" s="13"/>
      <c r="G226" s="13"/>
      <c r="H226" s="13"/>
      <c r="I226" s="13"/>
      <c r="J226" s="13"/>
    </row>
    <row r="227" spans="1:10">
      <c r="A227" s="133"/>
      <c r="B227" s="13"/>
      <c r="C227" s="13"/>
      <c r="D227" s="13"/>
      <c r="E227" s="13"/>
      <c r="F227" s="13"/>
      <c r="G227" s="13"/>
      <c r="H227" s="13"/>
      <c r="I227" s="13"/>
      <c r="J227" s="13"/>
    </row>
    <row r="228" spans="1:10">
      <c r="A228" s="133"/>
      <c r="B228" s="13"/>
      <c r="C228" s="13"/>
      <c r="D228" s="13"/>
      <c r="E228" s="13"/>
      <c r="F228" s="13"/>
      <c r="G228" s="13"/>
      <c r="H228" s="13"/>
      <c r="I228" s="13"/>
      <c r="J228" s="13"/>
    </row>
    <row r="229" spans="1:10">
      <c r="A229" s="133"/>
      <c r="B229" s="13"/>
      <c r="C229" s="13"/>
      <c r="D229" s="13"/>
      <c r="E229" s="13"/>
      <c r="F229" s="13"/>
      <c r="G229" s="13"/>
      <c r="H229" s="13"/>
      <c r="I229" s="13"/>
      <c r="J229" s="13"/>
    </row>
    <row r="230" spans="1:10">
      <c r="A230" s="133"/>
      <c r="B230" s="13"/>
      <c r="C230" s="13"/>
      <c r="D230" s="13"/>
      <c r="E230" s="13"/>
      <c r="F230" s="13"/>
      <c r="G230" s="13"/>
      <c r="H230" s="13"/>
      <c r="I230" s="13"/>
      <c r="J230" s="13"/>
    </row>
    <row r="231" spans="1:10">
      <c r="A231" s="133"/>
      <c r="B231" s="13"/>
      <c r="C231" s="13"/>
      <c r="D231" s="13"/>
      <c r="E231" s="13"/>
      <c r="F231" s="13"/>
      <c r="G231" s="13"/>
      <c r="H231" s="13"/>
      <c r="I231" s="13"/>
      <c r="J231" s="13"/>
    </row>
    <row r="232" spans="1:10">
      <c r="A232" s="133"/>
      <c r="B232" s="13"/>
      <c r="C232" s="13"/>
      <c r="D232" s="13"/>
      <c r="E232" s="13"/>
      <c r="F232" s="13"/>
      <c r="G232" s="13"/>
      <c r="H232" s="13"/>
      <c r="I232" s="13"/>
      <c r="J232" s="13"/>
    </row>
    <row r="233" spans="1:10">
      <c r="A233" s="133"/>
      <c r="B233" s="13"/>
      <c r="C233" s="13"/>
      <c r="D233" s="13"/>
      <c r="E233" s="13"/>
      <c r="F233" s="13"/>
      <c r="G233" s="13"/>
      <c r="H233" s="13"/>
      <c r="I233" s="13"/>
      <c r="J233" s="13"/>
    </row>
    <row r="234" spans="1:10">
      <c r="A234" s="133"/>
      <c r="B234" s="13"/>
      <c r="C234" s="13"/>
      <c r="D234" s="13"/>
      <c r="E234" s="13"/>
      <c r="F234" s="13"/>
      <c r="G234" s="13"/>
      <c r="H234" s="13"/>
      <c r="I234" s="13"/>
      <c r="J234" s="13"/>
    </row>
    <row r="235" spans="1:10">
      <c r="A235" s="133"/>
      <c r="B235" s="13"/>
      <c r="C235" s="13"/>
      <c r="D235" s="13"/>
      <c r="E235" s="13"/>
      <c r="F235" s="13"/>
      <c r="G235" s="13"/>
      <c r="H235" s="13"/>
      <c r="I235" s="13"/>
      <c r="J235" s="13"/>
    </row>
    <row r="236" spans="1:10">
      <c r="A236" s="133"/>
      <c r="B236" s="13"/>
      <c r="C236" s="13"/>
      <c r="D236" s="13"/>
      <c r="E236" s="13"/>
      <c r="F236" s="13"/>
      <c r="G236" s="13"/>
      <c r="H236" s="13"/>
      <c r="I236" s="13"/>
      <c r="J236" s="13"/>
    </row>
    <row r="237" spans="1:10">
      <c r="A237" s="133"/>
      <c r="B237" s="13"/>
      <c r="C237" s="13"/>
      <c r="D237" s="13"/>
      <c r="E237" s="13"/>
      <c r="F237" s="13"/>
      <c r="G237" s="13"/>
      <c r="H237" s="13"/>
      <c r="I237" s="13"/>
      <c r="J237" s="13"/>
    </row>
    <row r="238" spans="1:10">
      <c r="A238" s="133"/>
      <c r="B238" s="13"/>
      <c r="C238" s="13"/>
      <c r="D238" s="13"/>
      <c r="E238" s="13"/>
      <c r="F238" s="13"/>
      <c r="G238" s="13"/>
      <c r="H238" s="13"/>
      <c r="I238" s="13"/>
      <c r="J238" s="13"/>
    </row>
    <row r="239" spans="1:10">
      <c r="A239" s="133"/>
      <c r="B239" s="13"/>
      <c r="C239" s="13"/>
      <c r="D239" s="13"/>
      <c r="E239" s="13"/>
      <c r="F239" s="13"/>
      <c r="G239" s="13"/>
      <c r="H239" s="13"/>
      <c r="I239" s="13"/>
      <c r="J239" s="13"/>
    </row>
    <row r="240" spans="1:10">
      <c r="A240" s="133"/>
      <c r="B240" s="13"/>
      <c r="C240" s="13"/>
      <c r="D240" s="13"/>
      <c r="E240" s="13"/>
      <c r="F240" s="13"/>
      <c r="G240" s="13"/>
      <c r="H240" s="13"/>
      <c r="I240" s="13"/>
      <c r="J240" s="13"/>
    </row>
    <row r="241" spans="1:10">
      <c r="A241" s="133"/>
      <c r="B241" s="13"/>
      <c r="C241" s="13"/>
      <c r="D241" s="13"/>
      <c r="E241" s="13"/>
      <c r="F241" s="13"/>
      <c r="G241" s="13"/>
      <c r="H241" s="13"/>
      <c r="I241" s="13"/>
      <c r="J241" s="13"/>
    </row>
    <row r="242" spans="1:10">
      <c r="A242" s="133"/>
      <c r="B242" s="13"/>
      <c r="C242" s="13"/>
      <c r="D242" s="13"/>
      <c r="E242" s="13"/>
      <c r="F242" s="13"/>
      <c r="G242" s="13"/>
      <c r="H242" s="13"/>
      <c r="I242" s="13"/>
      <c r="J242" s="13"/>
    </row>
    <row r="243" spans="1:10">
      <c r="A243" s="133"/>
      <c r="B243" s="13"/>
      <c r="C243" s="13"/>
      <c r="D243" s="13"/>
      <c r="E243" s="13"/>
      <c r="F243" s="13"/>
      <c r="G243" s="13"/>
      <c r="H243" s="13"/>
      <c r="I243" s="13"/>
      <c r="J243" s="13"/>
    </row>
    <row r="244" spans="1:10">
      <c r="A244" s="133"/>
      <c r="B244" s="13"/>
      <c r="C244" s="13"/>
      <c r="D244" s="13"/>
      <c r="E244" s="13"/>
      <c r="F244" s="13"/>
      <c r="G244" s="13"/>
      <c r="H244" s="13"/>
      <c r="I244" s="13"/>
      <c r="J244" s="13"/>
    </row>
    <row r="245" spans="1:10">
      <c r="A245" s="133"/>
      <c r="B245" s="13"/>
      <c r="C245" s="13"/>
      <c r="D245" s="13"/>
      <c r="E245" s="13"/>
      <c r="F245" s="13"/>
      <c r="G245" s="13"/>
      <c r="H245" s="13"/>
      <c r="I245" s="13"/>
      <c r="J245" s="13"/>
    </row>
    <row r="246" spans="1:10">
      <c r="A246" s="133"/>
      <c r="B246" s="13"/>
      <c r="C246" s="13"/>
      <c r="D246" s="13"/>
      <c r="E246" s="13"/>
      <c r="F246" s="13"/>
      <c r="G246" s="13"/>
      <c r="H246" s="13"/>
      <c r="I246" s="13"/>
      <c r="J246" s="13"/>
    </row>
    <row r="247" spans="1:10">
      <c r="A247" s="133"/>
      <c r="B247" s="13"/>
      <c r="C247" s="13"/>
      <c r="D247" s="13"/>
      <c r="E247" s="13"/>
      <c r="F247" s="13"/>
      <c r="G247" s="13"/>
      <c r="H247" s="13"/>
      <c r="I247" s="13"/>
      <c r="J247" s="13"/>
    </row>
    <row r="248" spans="1:10">
      <c r="A248" s="133"/>
      <c r="B248" s="13"/>
      <c r="C248" s="13"/>
      <c r="D248" s="13"/>
      <c r="E248" s="13"/>
      <c r="F248" s="13"/>
      <c r="G248" s="13"/>
      <c r="H248" s="13"/>
      <c r="I248" s="13"/>
      <c r="J248" s="13"/>
    </row>
    <row r="249" spans="1:10">
      <c r="A249" s="133"/>
      <c r="B249" s="13"/>
      <c r="C249" s="13"/>
      <c r="D249" s="13"/>
      <c r="E249" s="13"/>
      <c r="F249" s="13"/>
      <c r="G249" s="13"/>
      <c r="H249" s="13"/>
      <c r="I249" s="13"/>
      <c r="J249" s="13"/>
    </row>
    <row r="250" spans="1:10">
      <c r="A250" s="133"/>
      <c r="B250" s="13"/>
      <c r="C250" s="13"/>
      <c r="D250" s="13"/>
      <c r="E250" s="13"/>
      <c r="F250" s="13"/>
      <c r="G250" s="13"/>
      <c r="H250" s="13"/>
      <c r="I250" s="13"/>
      <c r="J250" s="13"/>
    </row>
    <row r="251" spans="1:10">
      <c r="A251" s="133"/>
      <c r="B251" s="13"/>
      <c r="C251" s="13"/>
      <c r="D251" s="13"/>
      <c r="E251" s="13"/>
      <c r="F251" s="13"/>
      <c r="G251" s="13"/>
      <c r="H251" s="13"/>
      <c r="I251" s="13"/>
      <c r="J251" s="13"/>
    </row>
    <row r="252" spans="1:10">
      <c r="A252" s="133"/>
      <c r="B252" s="13"/>
      <c r="C252" s="13"/>
      <c r="D252" s="13"/>
      <c r="E252" s="13"/>
      <c r="F252" s="13"/>
      <c r="G252" s="13"/>
      <c r="H252" s="13"/>
      <c r="I252" s="13"/>
      <c r="J252" s="13"/>
    </row>
    <row r="253" spans="1:10">
      <c r="A253" s="133"/>
      <c r="B253" s="13"/>
      <c r="C253" s="13"/>
      <c r="D253" s="13"/>
      <c r="E253" s="13"/>
      <c r="F253" s="13"/>
      <c r="G253" s="13"/>
      <c r="H253" s="13"/>
      <c r="I253" s="13"/>
      <c r="J253" s="13"/>
    </row>
    <row r="254" spans="1:10">
      <c r="A254" s="133"/>
      <c r="B254" s="13"/>
      <c r="C254" s="13"/>
      <c r="D254" s="13"/>
      <c r="E254" s="13"/>
      <c r="F254" s="13"/>
      <c r="G254" s="13"/>
      <c r="H254" s="13"/>
      <c r="I254" s="13"/>
      <c r="J254" s="13"/>
    </row>
    <row r="255" spans="1:10">
      <c r="A255" s="133"/>
      <c r="B255" s="13"/>
      <c r="C255" s="13"/>
      <c r="D255" s="13"/>
      <c r="E255" s="13"/>
      <c r="F255" s="13"/>
      <c r="G255" s="13"/>
      <c r="H255" s="13"/>
      <c r="I255" s="13"/>
      <c r="J255" s="13"/>
    </row>
    <row r="256" spans="1:10">
      <c r="A256" s="133"/>
      <c r="B256" s="13"/>
      <c r="C256" s="13"/>
      <c r="D256" s="13"/>
      <c r="E256" s="13"/>
      <c r="F256" s="13"/>
      <c r="G256" s="13"/>
      <c r="H256" s="13"/>
      <c r="I256" s="13"/>
      <c r="J256" s="13"/>
    </row>
    <row r="257" spans="1:10">
      <c r="A257" s="133"/>
      <c r="B257" s="13"/>
      <c r="C257" s="13"/>
      <c r="D257" s="13"/>
      <c r="E257" s="13"/>
      <c r="F257" s="13"/>
      <c r="G257" s="13"/>
      <c r="H257" s="13"/>
      <c r="I257" s="13"/>
      <c r="J257" s="13"/>
    </row>
    <row r="258" spans="1:10">
      <c r="A258" s="133"/>
      <c r="B258" s="13"/>
      <c r="C258" s="13"/>
      <c r="D258" s="13"/>
      <c r="E258" s="13"/>
      <c r="F258" s="13"/>
      <c r="G258" s="13"/>
      <c r="H258" s="13"/>
      <c r="I258" s="13"/>
      <c r="J258" s="13"/>
    </row>
    <row r="259" spans="1:10">
      <c r="A259" s="133"/>
      <c r="B259" s="13"/>
      <c r="C259" s="13"/>
      <c r="D259" s="13"/>
      <c r="E259" s="13"/>
      <c r="F259" s="13"/>
      <c r="G259" s="13"/>
      <c r="H259" s="13"/>
      <c r="I259" s="13"/>
      <c r="J259" s="13"/>
    </row>
    <row r="260" spans="1:10">
      <c r="A260" s="133"/>
      <c r="B260" s="13"/>
      <c r="C260" s="13"/>
      <c r="D260" s="13"/>
      <c r="E260" s="13"/>
      <c r="F260" s="13"/>
      <c r="G260" s="13"/>
      <c r="H260" s="13"/>
      <c r="I260" s="13"/>
      <c r="J260" s="13"/>
    </row>
    <row r="261" spans="1:10">
      <c r="A261" s="133"/>
      <c r="B261" s="13"/>
      <c r="C261" s="13"/>
      <c r="D261" s="13"/>
      <c r="E261" s="13"/>
      <c r="F261" s="13"/>
      <c r="G261" s="13"/>
      <c r="H261" s="13"/>
      <c r="I261" s="13"/>
      <c r="J261" s="13"/>
    </row>
    <row r="262" spans="1:10">
      <c r="A262" s="133"/>
      <c r="B262" s="13"/>
      <c r="C262" s="13"/>
      <c r="D262" s="13"/>
      <c r="E262" s="13"/>
      <c r="F262" s="13"/>
      <c r="G262" s="13"/>
      <c r="H262" s="13"/>
      <c r="I262" s="13"/>
      <c r="J262" s="13"/>
    </row>
    <row r="263" spans="1:10">
      <c r="A263" s="133"/>
      <c r="B263" s="13"/>
      <c r="C263" s="13"/>
      <c r="D263" s="13"/>
      <c r="E263" s="13"/>
      <c r="F263" s="13"/>
      <c r="G263" s="13"/>
      <c r="H263" s="13"/>
      <c r="I263" s="13"/>
      <c r="J263" s="13"/>
    </row>
    <row r="264" spans="1:10">
      <c r="A264" s="133"/>
      <c r="B264" s="13"/>
      <c r="C264" s="13"/>
      <c r="D264" s="13"/>
      <c r="E264" s="13"/>
      <c r="F264" s="13"/>
      <c r="G264" s="13"/>
      <c r="H264" s="13"/>
      <c r="I264" s="13"/>
      <c r="J264" s="13"/>
    </row>
    <row r="265" spans="1:10">
      <c r="A265" s="133"/>
      <c r="B265" s="13"/>
      <c r="C265" s="13"/>
      <c r="D265" s="13"/>
      <c r="E265" s="13"/>
      <c r="F265" s="13"/>
      <c r="G265" s="13"/>
      <c r="H265" s="13"/>
      <c r="I265" s="13"/>
      <c r="J265" s="13"/>
    </row>
    <row r="266" spans="1:10">
      <c r="A266" s="133"/>
      <c r="B266" s="13"/>
      <c r="C266" s="13"/>
      <c r="D266" s="13"/>
      <c r="E266" s="13"/>
      <c r="F266" s="13"/>
      <c r="G266" s="13"/>
      <c r="H266" s="13"/>
      <c r="I266" s="13"/>
      <c r="J266" s="13"/>
    </row>
    <row r="267" spans="1:10">
      <c r="A267" s="133"/>
      <c r="B267" s="13"/>
      <c r="C267" s="13"/>
      <c r="D267" s="13"/>
      <c r="E267" s="13"/>
      <c r="F267" s="13"/>
      <c r="G267" s="13"/>
      <c r="H267" s="13"/>
      <c r="I267" s="13"/>
      <c r="J267" s="13"/>
    </row>
    <row r="268" spans="1:10">
      <c r="A268" s="133"/>
      <c r="B268" s="13"/>
      <c r="C268" s="13"/>
      <c r="D268" s="13"/>
      <c r="E268" s="13"/>
      <c r="F268" s="13"/>
      <c r="G268" s="13"/>
      <c r="H268" s="13"/>
      <c r="I268" s="13"/>
      <c r="J268" s="13"/>
    </row>
    <row r="269" spans="1:10">
      <c r="A269" s="133"/>
      <c r="B269" s="13"/>
      <c r="C269" s="13"/>
      <c r="D269" s="13"/>
      <c r="E269" s="13"/>
      <c r="F269" s="13"/>
      <c r="G269" s="13"/>
      <c r="H269" s="13"/>
      <c r="I269" s="13"/>
      <c r="J269" s="13"/>
    </row>
    <row r="270" spans="1:10">
      <c r="A270" s="133"/>
      <c r="B270" s="13"/>
      <c r="C270" s="13"/>
      <c r="D270" s="13"/>
      <c r="E270" s="13"/>
      <c r="F270" s="13"/>
      <c r="G270" s="13"/>
      <c r="H270" s="13"/>
      <c r="I270" s="13"/>
      <c r="J270" s="13"/>
    </row>
    <row r="271" spans="1:10">
      <c r="A271" s="133"/>
      <c r="B271" s="13"/>
      <c r="C271" s="13"/>
      <c r="D271" s="13"/>
      <c r="E271" s="13"/>
      <c r="F271" s="13"/>
      <c r="G271" s="13"/>
      <c r="H271" s="13"/>
      <c r="I271" s="13"/>
      <c r="J271" s="13"/>
    </row>
    <row r="272" spans="1:10">
      <c r="A272" s="133"/>
      <c r="B272" s="13"/>
      <c r="C272" s="13"/>
      <c r="D272" s="13"/>
      <c r="E272" s="13"/>
      <c r="F272" s="13"/>
      <c r="G272" s="13"/>
      <c r="H272" s="13"/>
      <c r="I272" s="13"/>
      <c r="J272" s="13"/>
    </row>
    <row r="273" spans="1:10">
      <c r="A273" s="133"/>
      <c r="B273" s="13"/>
      <c r="C273" s="13"/>
      <c r="D273" s="13"/>
      <c r="E273" s="13"/>
      <c r="F273" s="13"/>
      <c r="G273" s="13"/>
      <c r="H273" s="13"/>
      <c r="I273" s="13"/>
      <c r="J273" s="13"/>
    </row>
    <row r="274" spans="1:10">
      <c r="A274" s="133"/>
      <c r="B274" s="13"/>
      <c r="C274" s="13"/>
      <c r="D274" s="13"/>
      <c r="E274" s="13"/>
      <c r="F274" s="13"/>
      <c r="G274" s="13"/>
      <c r="H274" s="13"/>
      <c r="I274" s="13"/>
      <c r="J274" s="13"/>
    </row>
    <row r="275" spans="1:10">
      <c r="A275" s="133"/>
      <c r="B275" s="13"/>
      <c r="C275" s="13"/>
      <c r="D275" s="13"/>
      <c r="E275" s="13"/>
      <c r="F275" s="13"/>
      <c r="G275" s="13"/>
      <c r="H275" s="13"/>
      <c r="I275" s="13"/>
      <c r="J275" s="13"/>
    </row>
    <row r="276" spans="1:10">
      <c r="A276" s="133"/>
      <c r="B276" s="13"/>
      <c r="C276" s="13"/>
      <c r="D276" s="13"/>
      <c r="E276" s="13"/>
      <c r="F276" s="13"/>
      <c r="G276" s="13"/>
      <c r="H276" s="13"/>
      <c r="I276" s="13"/>
      <c r="J276" s="13"/>
    </row>
    <row r="277" spans="1:10">
      <c r="A277" s="133"/>
      <c r="B277" s="13"/>
      <c r="C277" s="13"/>
      <c r="D277" s="13"/>
      <c r="E277" s="13"/>
      <c r="F277" s="13"/>
      <c r="G277" s="13"/>
      <c r="H277" s="13"/>
      <c r="I277" s="13"/>
      <c r="J277" s="13"/>
    </row>
    <row r="278" spans="1:10">
      <c r="A278" s="133"/>
      <c r="B278" s="13"/>
      <c r="C278" s="13"/>
      <c r="D278" s="13"/>
      <c r="E278" s="13"/>
      <c r="F278" s="13"/>
      <c r="G278" s="13"/>
      <c r="H278" s="13"/>
      <c r="I278" s="13"/>
      <c r="J278" s="13"/>
    </row>
    <row r="279" spans="1:10">
      <c r="A279" s="133"/>
      <c r="B279" s="13"/>
      <c r="C279" s="13"/>
      <c r="D279" s="13"/>
      <c r="E279" s="13"/>
      <c r="F279" s="13"/>
      <c r="G279" s="13"/>
      <c r="H279" s="13"/>
      <c r="I279" s="13"/>
      <c r="J279" s="13"/>
    </row>
    <row r="280" spans="1:10">
      <c r="A280" s="133"/>
      <c r="B280" s="13"/>
      <c r="C280" s="13"/>
      <c r="D280" s="13"/>
      <c r="E280" s="13"/>
      <c r="F280" s="13"/>
      <c r="G280" s="13"/>
      <c r="H280" s="13"/>
      <c r="I280" s="13"/>
      <c r="J280" s="13"/>
    </row>
    <row r="281" spans="1:10">
      <c r="A281" s="133"/>
      <c r="B281" s="13"/>
      <c r="C281" s="13"/>
      <c r="D281" s="13"/>
      <c r="E281" s="13"/>
      <c r="F281" s="13"/>
      <c r="G281" s="13"/>
      <c r="H281" s="13"/>
      <c r="I281" s="13"/>
      <c r="J281" s="13"/>
    </row>
    <row r="282" spans="1:10">
      <c r="A282" s="133"/>
      <c r="B282" s="13"/>
      <c r="C282" s="13"/>
      <c r="D282" s="13"/>
      <c r="E282" s="13"/>
      <c r="F282" s="13"/>
      <c r="G282" s="13"/>
      <c r="H282" s="13"/>
      <c r="I282" s="13"/>
      <c r="J282" s="13"/>
    </row>
    <row r="283" spans="1:10">
      <c r="A283" s="133"/>
      <c r="B283" s="13"/>
      <c r="C283" s="13"/>
      <c r="D283" s="13"/>
      <c r="E283" s="13"/>
      <c r="F283" s="13"/>
      <c r="G283" s="13"/>
      <c r="H283" s="13"/>
      <c r="I283" s="13"/>
      <c r="J283" s="13"/>
    </row>
    <row r="284" spans="1:10">
      <c r="A284" s="133"/>
      <c r="B284" s="13"/>
      <c r="C284" s="13"/>
      <c r="D284" s="13"/>
      <c r="E284" s="13"/>
      <c r="F284" s="13"/>
      <c r="G284" s="13"/>
      <c r="H284" s="13"/>
      <c r="I284" s="13"/>
      <c r="J284" s="13"/>
    </row>
    <row r="285" spans="1:10">
      <c r="A285" s="133"/>
      <c r="B285" s="13"/>
      <c r="C285" s="13"/>
      <c r="D285" s="13"/>
      <c r="E285" s="13"/>
      <c r="F285" s="13"/>
      <c r="G285" s="13"/>
      <c r="H285" s="13"/>
      <c r="I285" s="13"/>
      <c r="J285" s="13"/>
    </row>
    <row r="286" spans="1:10">
      <c r="A286" s="133"/>
      <c r="B286" s="13"/>
      <c r="C286" s="13"/>
      <c r="D286" s="13"/>
      <c r="E286" s="13"/>
      <c r="F286" s="13"/>
      <c r="G286" s="13"/>
      <c r="H286" s="13"/>
      <c r="I286" s="13"/>
      <c r="J286" s="13"/>
    </row>
    <row r="287" spans="1:10">
      <c r="A287" s="133"/>
      <c r="B287" s="13"/>
      <c r="C287" s="13"/>
      <c r="D287" s="13"/>
      <c r="E287" s="13"/>
      <c r="F287" s="13"/>
      <c r="G287" s="13"/>
      <c r="H287" s="13"/>
      <c r="I287" s="13"/>
      <c r="J287" s="13"/>
    </row>
    <row r="288" spans="1:10">
      <c r="A288" s="133"/>
      <c r="B288" s="13"/>
      <c r="C288" s="13"/>
      <c r="D288" s="13"/>
      <c r="E288" s="13"/>
      <c r="F288" s="13"/>
      <c r="G288" s="13"/>
      <c r="H288" s="13"/>
      <c r="I288" s="13"/>
      <c r="J288" s="13"/>
    </row>
    <row r="289" spans="1:10">
      <c r="A289" s="133"/>
      <c r="B289" s="13"/>
      <c r="C289" s="13"/>
      <c r="D289" s="13"/>
      <c r="E289" s="13"/>
      <c r="F289" s="13"/>
      <c r="G289" s="13"/>
      <c r="H289" s="13"/>
      <c r="I289" s="13"/>
      <c r="J289" s="13"/>
    </row>
    <row r="290" spans="1:10">
      <c r="A290" s="133"/>
      <c r="B290" s="13"/>
      <c r="C290" s="13"/>
      <c r="D290" s="13"/>
      <c r="E290" s="13"/>
      <c r="F290" s="13"/>
      <c r="G290" s="13"/>
      <c r="H290" s="13"/>
      <c r="I290" s="13"/>
      <c r="J290" s="13"/>
    </row>
    <row r="291" spans="1:10">
      <c r="A291" s="133"/>
      <c r="B291" s="13"/>
      <c r="C291" s="13"/>
      <c r="D291" s="13"/>
      <c r="E291" s="13"/>
      <c r="F291" s="13"/>
      <c r="G291" s="13"/>
      <c r="H291" s="13"/>
      <c r="I291" s="13"/>
      <c r="J291" s="13"/>
    </row>
    <row r="292" spans="1:10">
      <c r="A292" s="133"/>
      <c r="B292" s="13"/>
      <c r="C292" s="13"/>
      <c r="D292" s="13"/>
      <c r="E292" s="13"/>
      <c r="F292" s="13"/>
      <c r="G292" s="13"/>
      <c r="H292" s="13"/>
      <c r="I292" s="13"/>
      <c r="J292" s="13"/>
    </row>
    <row r="293" spans="1:10">
      <c r="A293" s="133"/>
      <c r="B293" s="13"/>
      <c r="C293" s="13"/>
      <c r="D293" s="13"/>
      <c r="E293" s="13"/>
      <c r="F293" s="13"/>
      <c r="G293" s="13"/>
      <c r="H293" s="13"/>
      <c r="I293" s="13"/>
      <c r="J293" s="13"/>
    </row>
    <row r="294" spans="1:10">
      <c r="A294" s="133"/>
      <c r="B294" s="13"/>
      <c r="C294" s="13"/>
      <c r="D294" s="13"/>
      <c r="E294" s="13"/>
      <c r="F294" s="13"/>
      <c r="G294" s="13"/>
      <c r="H294" s="13"/>
      <c r="I294" s="13"/>
      <c r="J294" s="13"/>
    </row>
    <row r="295" spans="1:10">
      <c r="A295" s="133"/>
      <c r="B295" s="13"/>
      <c r="C295" s="13"/>
      <c r="D295" s="13"/>
      <c r="E295" s="13"/>
      <c r="F295" s="13"/>
      <c r="G295" s="13"/>
      <c r="H295" s="13"/>
      <c r="I295" s="13"/>
      <c r="J295" s="13"/>
    </row>
    <row r="296" spans="1:10">
      <c r="A296" s="133"/>
      <c r="B296" s="13"/>
      <c r="C296" s="13"/>
      <c r="D296" s="13"/>
      <c r="E296" s="13"/>
      <c r="F296" s="13"/>
      <c r="G296" s="13"/>
      <c r="H296" s="13"/>
      <c r="I296" s="13"/>
      <c r="J296" s="13"/>
    </row>
    <row r="297" spans="1:10">
      <c r="A297" s="133"/>
      <c r="B297" s="13"/>
      <c r="C297" s="13"/>
      <c r="D297" s="13"/>
      <c r="E297" s="13"/>
      <c r="F297" s="13"/>
      <c r="G297" s="13"/>
      <c r="H297" s="13"/>
      <c r="I297" s="13"/>
      <c r="J297" s="13"/>
    </row>
    <row r="298" spans="1:10">
      <c r="A298" s="133"/>
      <c r="B298" s="13"/>
      <c r="C298" s="13"/>
      <c r="D298" s="13"/>
      <c r="E298" s="13"/>
      <c r="F298" s="13"/>
      <c r="G298" s="13"/>
      <c r="H298" s="13"/>
      <c r="I298" s="13"/>
      <c r="J298" s="13"/>
    </row>
    <row r="299" spans="1:10">
      <c r="A299" s="133"/>
      <c r="B299" s="13"/>
      <c r="C299" s="13"/>
      <c r="D299" s="13"/>
      <c r="E299" s="13"/>
      <c r="F299" s="13"/>
      <c r="G299" s="13"/>
      <c r="H299" s="13"/>
      <c r="I299" s="13"/>
      <c r="J299" s="13"/>
    </row>
    <row r="300" spans="1:10">
      <c r="A300" s="133"/>
      <c r="B300" s="13"/>
      <c r="C300" s="13"/>
      <c r="D300" s="13"/>
      <c r="E300" s="13"/>
      <c r="F300" s="13"/>
      <c r="G300" s="13"/>
      <c r="H300" s="13"/>
      <c r="I300" s="13"/>
      <c r="J300" s="13"/>
    </row>
    <row r="301" spans="1:10">
      <c r="A301" s="133"/>
      <c r="B301" s="13"/>
      <c r="C301" s="13"/>
      <c r="D301" s="13"/>
      <c r="E301" s="13"/>
      <c r="F301" s="13"/>
      <c r="G301" s="13"/>
      <c r="H301" s="13"/>
      <c r="I301" s="13"/>
      <c r="J301" s="13"/>
    </row>
    <row r="302" spans="1:10">
      <c r="A302" s="133"/>
      <c r="B302" s="13"/>
      <c r="C302" s="13"/>
      <c r="D302" s="13"/>
      <c r="E302" s="13"/>
      <c r="F302" s="13"/>
      <c r="G302" s="13"/>
      <c r="H302" s="13"/>
      <c r="I302" s="13"/>
      <c r="J302" s="13"/>
    </row>
    <row r="303" spans="1:10">
      <c r="A303" s="133"/>
      <c r="B303" s="13"/>
      <c r="C303" s="13"/>
      <c r="D303" s="13"/>
      <c r="E303" s="13"/>
      <c r="F303" s="13"/>
      <c r="G303" s="13"/>
      <c r="H303" s="13"/>
      <c r="I303" s="13"/>
      <c r="J303" s="13"/>
    </row>
    <row r="304" spans="1:10">
      <c r="A304" s="133"/>
      <c r="B304" s="13"/>
      <c r="C304" s="13"/>
      <c r="D304" s="13"/>
      <c r="E304" s="13"/>
      <c r="F304" s="13"/>
      <c r="G304" s="13"/>
      <c r="H304" s="13"/>
      <c r="I304" s="13"/>
      <c r="J304" s="13"/>
    </row>
    <row r="305" spans="1:10">
      <c r="A305" s="133"/>
      <c r="B305" s="13"/>
      <c r="C305" s="13"/>
      <c r="D305" s="13"/>
      <c r="E305" s="13"/>
      <c r="F305" s="13"/>
      <c r="G305" s="13"/>
      <c r="H305" s="13"/>
      <c r="I305" s="13"/>
      <c r="J305" s="13"/>
    </row>
    <row r="306" spans="1:10">
      <c r="A306" s="133"/>
      <c r="B306" s="13"/>
      <c r="C306" s="13"/>
      <c r="D306" s="13"/>
      <c r="E306" s="13"/>
      <c r="F306" s="13"/>
      <c r="G306" s="13"/>
      <c r="H306" s="13"/>
      <c r="I306" s="13"/>
      <c r="J306" s="13"/>
    </row>
    <row r="307" spans="1:10">
      <c r="A307" s="133"/>
      <c r="B307" s="13"/>
      <c r="C307" s="13"/>
      <c r="D307" s="13"/>
      <c r="E307" s="13"/>
      <c r="F307" s="13"/>
      <c r="G307" s="13"/>
      <c r="H307" s="13"/>
      <c r="I307" s="13"/>
      <c r="J307" s="13"/>
    </row>
    <row r="308" spans="1:10">
      <c r="A308" s="133"/>
      <c r="B308" s="13"/>
      <c r="C308" s="13"/>
      <c r="D308" s="13"/>
      <c r="E308" s="13"/>
      <c r="F308" s="13"/>
      <c r="G308" s="13"/>
      <c r="H308" s="13"/>
      <c r="I308" s="13"/>
      <c r="J308" s="13"/>
    </row>
    <row r="309" spans="1:10">
      <c r="A309" s="133"/>
      <c r="B309" s="13"/>
      <c r="C309" s="13"/>
      <c r="D309" s="13"/>
      <c r="E309" s="13"/>
      <c r="F309" s="13"/>
      <c r="G309" s="13"/>
      <c r="H309" s="13"/>
      <c r="I309" s="13"/>
      <c r="J309" s="13"/>
    </row>
    <row r="310" spans="1:10">
      <c r="A310" s="133"/>
      <c r="B310" s="13"/>
      <c r="C310" s="13"/>
      <c r="D310" s="13"/>
      <c r="E310" s="13"/>
      <c r="F310" s="13"/>
      <c r="G310" s="13"/>
      <c r="H310" s="13"/>
      <c r="I310" s="13"/>
      <c r="J310" s="13"/>
    </row>
    <row r="311" spans="1:10">
      <c r="A311" s="133"/>
      <c r="B311" s="13"/>
      <c r="C311" s="13"/>
      <c r="D311" s="13"/>
      <c r="E311" s="13"/>
      <c r="F311" s="13"/>
      <c r="G311" s="13"/>
      <c r="H311" s="13"/>
      <c r="I311" s="13"/>
      <c r="J311" s="13"/>
    </row>
    <row r="312" spans="1:10">
      <c r="A312" s="133"/>
      <c r="B312" s="13"/>
      <c r="C312" s="13"/>
      <c r="D312" s="13"/>
      <c r="E312" s="13"/>
      <c r="F312" s="13"/>
      <c r="G312" s="13"/>
      <c r="H312" s="13"/>
      <c r="I312" s="13"/>
      <c r="J312" s="13"/>
    </row>
    <row r="313" spans="1:10">
      <c r="A313" s="133"/>
      <c r="B313" s="13"/>
      <c r="C313" s="13"/>
      <c r="D313" s="13"/>
      <c r="E313" s="13"/>
      <c r="F313" s="13"/>
      <c r="G313" s="13"/>
      <c r="H313" s="13"/>
      <c r="I313" s="13"/>
      <c r="J313" s="13"/>
    </row>
    <row r="314" spans="1:10">
      <c r="A314" s="133"/>
      <c r="B314" s="13"/>
      <c r="C314" s="13"/>
      <c r="D314" s="13"/>
      <c r="E314" s="13"/>
      <c r="F314" s="13"/>
      <c r="G314" s="13"/>
      <c r="H314" s="13"/>
      <c r="I314" s="13"/>
      <c r="J314" s="13"/>
    </row>
    <row r="315" spans="1:10">
      <c r="A315" s="133"/>
      <c r="B315" s="13"/>
      <c r="C315" s="13"/>
      <c r="D315" s="13"/>
      <c r="E315" s="13"/>
      <c r="F315" s="13"/>
      <c r="G315" s="13"/>
      <c r="H315" s="13"/>
      <c r="I315" s="13"/>
      <c r="J315" s="13"/>
    </row>
    <row r="316" spans="1:10">
      <c r="A316" s="133"/>
      <c r="B316" s="13"/>
      <c r="C316" s="13"/>
      <c r="D316" s="13"/>
      <c r="E316" s="13"/>
      <c r="F316" s="13"/>
      <c r="G316" s="13"/>
      <c r="H316" s="13"/>
      <c r="I316" s="13"/>
      <c r="J316" s="13"/>
    </row>
    <row r="317" spans="1:10">
      <c r="A317" s="133"/>
      <c r="B317" s="13"/>
      <c r="C317" s="13"/>
      <c r="D317" s="13"/>
      <c r="E317" s="13"/>
      <c r="F317" s="13"/>
      <c r="G317" s="13"/>
      <c r="H317" s="13"/>
      <c r="I317" s="13"/>
      <c r="J317" s="13"/>
    </row>
    <row r="318" spans="1:10">
      <c r="A318" s="133"/>
      <c r="B318" s="13"/>
      <c r="C318" s="13"/>
      <c r="D318" s="13"/>
      <c r="E318" s="13"/>
      <c r="F318" s="13"/>
      <c r="G318" s="13"/>
      <c r="H318" s="13"/>
      <c r="I318" s="13"/>
      <c r="J318" s="13"/>
    </row>
    <row r="319" spans="1:10">
      <c r="A319" s="133"/>
      <c r="B319" s="13"/>
      <c r="C319" s="13"/>
      <c r="D319" s="13"/>
      <c r="E319" s="13"/>
      <c r="F319" s="13"/>
      <c r="G319" s="13"/>
      <c r="H319" s="13"/>
      <c r="I319" s="13"/>
      <c r="J319" s="13"/>
    </row>
    <row r="320" spans="1:10">
      <c r="A320" s="133"/>
      <c r="B320" s="13"/>
      <c r="C320" s="13"/>
      <c r="D320" s="13"/>
      <c r="E320" s="13"/>
      <c r="F320" s="13"/>
      <c r="G320" s="13"/>
      <c r="H320" s="13"/>
      <c r="I320" s="13"/>
      <c r="J320" s="13"/>
    </row>
    <row r="321" spans="1:10">
      <c r="A321" s="133"/>
      <c r="B321" s="13"/>
      <c r="C321" s="13"/>
      <c r="D321" s="13"/>
      <c r="E321" s="13"/>
      <c r="F321" s="13"/>
      <c r="G321" s="13"/>
      <c r="H321" s="13"/>
      <c r="I321" s="13"/>
      <c r="J321" s="13"/>
    </row>
    <row r="322" spans="1:10">
      <c r="A322" s="133"/>
      <c r="B322" s="13"/>
      <c r="C322" s="13"/>
      <c r="D322" s="13"/>
      <c r="E322" s="13"/>
      <c r="F322" s="13"/>
      <c r="G322" s="13"/>
      <c r="H322" s="13"/>
      <c r="I322" s="13"/>
      <c r="J322" s="13"/>
    </row>
    <row r="323" spans="1:10">
      <c r="A323" s="133"/>
      <c r="B323" s="13"/>
      <c r="C323" s="13"/>
      <c r="D323" s="13"/>
      <c r="E323" s="13"/>
      <c r="F323" s="13"/>
      <c r="G323" s="13"/>
      <c r="H323" s="13"/>
      <c r="I323" s="13"/>
      <c r="J323" s="13"/>
    </row>
    <row r="324" spans="1:10">
      <c r="A324" s="133"/>
      <c r="B324" s="13"/>
      <c r="C324" s="13"/>
      <c r="D324" s="13"/>
      <c r="E324" s="13"/>
      <c r="F324" s="13"/>
      <c r="G324" s="13"/>
      <c r="H324" s="13"/>
      <c r="I324" s="13"/>
      <c r="J324" s="13"/>
    </row>
    <row r="325" spans="1:10">
      <c r="A325" s="133"/>
      <c r="B325" s="13"/>
      <c r="C325" s="13"/>
      <c r="D325" s="13"/>
      <c r="E325" s="13"/>
      <c r="F325" s="13"/>
      <c r="G325" s="13"/>
      <c r="H325" s="13"/>
      <c r="I325" s="13"/>
      <c r="J325" s="13"/>
    </row>
    <row r="326" spans="1:10">
      <c r="A326" s="133"/>
      <c r="B326" s="13"/>
      <c r="C326" s="13"/>
      <c r="D326" s="13"/>
      <c r="E326" s="13"/>
      <c r="F326" s="13"/>
      <c r="G326" s="13"/>
      <c r="H326" s="13"/>
      <c r="I326" s="13"/>
      <c r="J326" s="13"/>
    </row>
    <row r="327" spans="1:10">
      <c r="A327" s="133"/>
      <c r="B327" s="13"/>
      <c r="C327" s="13"/>
      <c r="D327" s="13"/>
      <c r="E327" s="13"/>
      <c r="F327" s="13"/>
      <c r="G327" s="13"/>
      <c r="H327" s="13"/>
      <c r="I327" s="13"/>
      <c r="J327" s="13"/>
    </row>
    <row r="328" spans="1:10">
      <c r="A328" s="133"/>
      <c r="B328" s="13"/>
      <c r="C328" s="13"/>
      <c r="D328" s="13"/>
      <c r="E328" s="13"/>
      <c r="F328" s="13"/>
      <c r="G328" s="13"/>
      <c r="H328" s="13"/>
      <c r="I328" s="13"/>
      <c r="J328" s="13"/>
    </row>
    <row r="329" spans="1:10">
      <c r="A329" s="133"/>
      <c r="B329" s="13"/>
      <c r="C329" s="13"/>
      <c r="D329" s="13"/>
      <c r="E329" s="13"/>
      <c r="F329" s="13"/>
      <c r="G329" s="13"/>
      <c r="H329" s="13"/>
      <c r="I329" s="13"/>
      <c r="J329" s="13"/>
    </row>
    <row r="330" spans="1:10">
      <c r="A330" s="133"/>
      <c r="B330" s="13"/>
      <c r="C330" s="13"/>
      <c r="D330" s="13"/>
      <c r="E330" s="13"/>
      <c r="F330" s="13"/>
      <c r="G330" s="13"/>
      <c r="H330" s="13"/>
      <c r="I330" s="13"/>
      <c r="J330" s="13"/>
    </row>
    <row r="331" spans="1:10">
      <c r="A331" s="133"/>
      <c r="B331" s="13"/>
      <c r="C331" s="13"/>
      <c r="D331" s="13"/>
      <c r="E331" s="13"/>
      <c r="F331" s="13"/>
      <c r="G331" s="13"/>
      <c r="H331" s="13"/>
      <c r="I331" s="13"/>
      <c r="J331" s="13"/>
    </row>
    <row r="332" spans="1:10">
      <c r="A332" s="133"/>
      <c r="B332" s="13"/>
      <c r="C332" s="13"/>
      <c r="D332" s="13"/>
      <c r="E332" s="13"/>
      <c r="F332" s="13"/>
      <c r="G332" s="13"/>
      <c r="H332" s="13"/>
      <c r="I332" s="13"/>
      <c r="J332" s="13"/>
    </row>
    <row r="333" spans="1:10">
      <c r="A333" s="133"/>
      <c r="B333" s="13"/>
      <c r="C333" s="13"/>
      <c r="D333" s="13"/>
      <c r="E333" s="13"/>
      <c r="F333" s="13"/>
      <c r="G333" s="13"/>
      <c r="H333" s="13"/>
      <c r="I333" s="13"/>
      <c r="J333" s="13"/>
    </row>
    <row r="334" spans="1:10">
      <c r="A334" s="133"/>
      <c r="B334" s="13"/>
      <c r="C334" s="13"/>
      <c r="D334" s="13"/>
      <c r="E334" s="13"/>
      <c r="F334" s="13"/>
      <c r="G334" s="13"/>
      <c r="H334" s="13"/>
      <c r="I334" s="13"/>
      <c r="J334" s="13"/>
    </row>
    <row r="335" spans="1:10">
      <c r="A335" s="133"/>
      <c r="B335" s="13"/>
      <c r="C335" s="13"/>
      <c r="D335" s="13"/>
      <c r="E335" s="13"/>
      <c r="F335" s="13"/>
      <c r="G335" s="13"/>
      <c r="H335" s="13"/>
      <c r="I335" s="13"/>
      <c r="J335" s="13"/>
    </row>
    <row r="336" spans="1:10">
      <c r="A336" s="133"/>
      <c r="B336" s="13"/>
      <c r="C336" s="13"/>
      <c r="D336" s="13"/>
      <c r="E336" s="13"/>
      <c r="F336" s="13"/>
      <c r="G336" s="13"/>
      <c r="H336" s="13"/>
      <c r="I336" s="13"/>
      <c r="J336" s="13"/>
    </row>
    <row r="337" spans="1:10">
      <c r="A337" s="133"/>
      <c r="B337" s="13"/>
      <c r="C337" s="13"/>
      <c r="D337" s="13"/>
      <c r="E337" s="13"/>
      <c r="F337" s="13"/>
      <c r="G337" s="13"/>
      <c r="H337" s="13"/>
      <c r="I337" s="13"/>
      <c r="J337" s="13"/>
    </row>
    <row r="338" spans="1:10">
      <c r="A338" s="133"/>
      <c r="B338" s="13"/>
      <c r="C338" s="13"/>
      <c r="D338" s="13"/>
      <c r="E338" s="13"/>
      <c r="F338" s="13"/>
      <c r="G338" s="13"/>
      <c r="H338" s="13"/>
      <c r="I338" s="13"/>
      <c r="J338" s="13"/>
    </row>
    <row r="339" spans="1:10">
      <c r="A339" s="133"/>
      <c r="B339" s="13"/>
      <c r="C339" s="13"/>
      <c r="D339" s="13"/>
      <c r="E339" s="13"/>
      <c r="F339" s="13"/>
      <c r="G339" s="13"/>
      <c r="H339" s="13"/>
      <c r="I339" s="13"/>
      <c r="J339" s="13"/>
    </row>
    <row r="340" spans="1:10">
      <c r="A340" s="133"/>
      <c r="B340" s="13"/>
      <c r="C340" s="13"/>
      <c r="D340" s="13"/>
      <c r="E340" s="13"/>
      <c r="F340" s="13"/>
      <c r="G340" s="13"/>
      <c r="H340" s="13"/>
      <c r="I340" s="13"/>
      <c r="J340" s="13"/>
    </row>
    <row r="341" spans="1:10">
      <c r="A341" s="133"/>
      <c r="B341" s="13"/>
      <c r="C341" s="13"/>
      <c r="D341" s="13"/>
      <c r="E341" s="13"/>
      <c r="F341" s="13"/>
      <c r="G341" s="13"/>
      <c r="H341" s="13"/>
      <c r="I341" s="13"/>
      <c r="J341" s="13"/>
    </row>
    <row r="342" spans="1:10">
      <c r="A342" s="133"/>
      <c r="B342" s="13"/>
      <c r="C342" s="13"/>
      <c r="D342" s="13"/>
      <c r="E342" s="13"/>
      <c r="F342" s="13"/>
      <c r="G342" s="13"/>
      <c r="H342" s="13"/>
      <c r="I342" s="13"/>
      <c r="J342" s="13"/>
    </row>
    <row r="343" spans="1:10">
      <c r="A343" s="133"/>
      <c r="B343" s="13"/>
      <c r="C343" s="13"/>
      <c r="D343" s="13"/>
      <c r="E343" s="13"/>
      <c r="F343" s="13"/>
      <c r="G343" s="13"/>
      <c r="H343" s="13"/>
      <c r="I343" s="13"/>
      <c r="J343" s="13"/>
    </row>
    <row r="344" spans="1:10">
      <c r="A344" s="133"/>
      <c r="B344" s="13"/>
      <c r="C344" s="13"/>
      <c r="D344" s="13"/>
      <c r="E344" s="13"/>
      <c r="F344" s="13"/>
      <c r="G344" s="13"/>
      <c r="H344" s="13"/>
      <c r="I344" s="13"/>
      <c r="J344" s="13"/>
    </row>
    <row r="345" spans="1:10">
      <c r="A345" s="133"/>
      <c r="B345" s="13"/>
      <c r="C345" s="13"/>
      <c r="D345" s="13"/>
      <c r="E345" s="13"/>
      <c r="F345" s="13"/>
      <c r="G345" s="13"/>
      <c r="H345" s="13"/>
      <c r="I345" s="13"/>
      <c r="J345" s="13"/>
    </row>
    <row r="346" spans="1:10">
      <c r="A346" s="133"/>
      <c r="B346" s="13"/>
      <c r="C346" s="13"/>
      <c r="D346" s="13"/>
      <c r="E346" s="13"/>
      <c r="F346" s="13"/>
      <c r="G346" s="13"/>
      <c r="H346" s="13"/>
      <c r="I346" s="13"/>
      <c r="J346" s="13"/>
    </row>
    <row r="347" spans="1:10">
      <c r="A347" s="133"/>
      <c r="B347" s="13"/>
      <c r="C347" s="13"/>
      <c r="D347" s="13"/>
      <c r="E347" s="13"/>
      <c r="F347" s="13"/>
      <c r="G347" s="13"/>
      <c r="H347" s="13"/>
      <c r="I347" s="13"/>
      <c r="J347" s="13"/>
    </row>
    <row r="348" spans="1:10">
      <c r="A348" s="133"/>
      <c r="B348" s="13"/>
      <c r="C348" s="13"/>
      <c r="D348" s="13"/>
      <c r="E348" s="13"/>
      <c r="F348" s="13"/>
      <c r="G348" s="13"/>
      <c r="H348" s="13"/>
      <c r="I348" s="13"/>
      <c r="J348" s="13"/>
    </row>
    <row r="349" spans="1:10">
      <c r="A349" s="133"/>
      <c r="B349" s="13"/>
      <c r="C349" s="13"/>
      <c r="D349" s="13"/>
      <c r="E349" s="13"/>
      <c r="F349" s="13"/>
      <c r="G349" s="13"/>
      <c r="H349" s="13"/>
      <c r="I349" s="13"/>
      <c r="J349" s="13"/>
    </row>
    <row r="350" spans="1:10">
      <c r="A350" s="133"/>
      <c r="B350" s="13"/>
      <c r="C350" s="13"/>
      <c r="D350" s="13"/>
      <c r="E350" s="13"/>
      <c r="F350" s="13"/>
      <c r="G350" s="13"/>
      <c r="H350" s="13"/>
      <c r="I350" s="13"/>
      <c r="J350" s="13"/>
    </row>
    <row r="351" spans="1:10">
      <c r="A351" s="133"/>
      <c r="B351" s="13"/>
      <c r="C351" s="13"/>
      <c r="D351" s="13"/>
      <c r="E351" s="13"/>
      <c r="F351" s="13"/>
      <c r="G351" s="13"/>
      <c r="H351" s="13"/>
      <c r="I351" s="13"/>
      <c r="J351" s="13"/>
    </row>
    <row r="352" spans="1:10">
      <c r="A352" s="133"/>
      <c r="B352" s="13"/>
      <c r="C352" s="13"/>
      <c r="D352" s="13"/>
      <c r="E352" s="13"/>
      <c r="F352" s="13"/>
      <c r="G352" s="13"/>
      <c r="H352" s="13"/>
      <c r="I352" s="13"/>
      <c r="J352" s="13"/>
    </row>
    <row r="353" spans="1:10">
      <c r="A353" s="133"/>
      <c r="B353" s="13"/>
      <c r="C353" s="13"/>
      <c r="D353" s="13"/>
      <c r="E353" s="13"/>
      <c r="F353" s="13"/>
      <c r="G353" s="13"/>
      <c r="H353" s="13"/>
      <c r="I353" s="13"/>
      <c r="J353" s="13"/>
    </row>
    <row r="354" spans="1:10">
      <c r="A354" s="133"/>
      <c r="B354" s="13"/>
      <c r="C354" s="13"/>
      <c r="D354" s="13"/>
      <c r="E354" s="13"/>
      <c r="F354" s="13"/>
      <c r="G354" s="13"/>
      <c r="H354" s="13"/>
      <c r="I354" s="13"/>
      <c r="J354" s="13"/>
    </row>
    <row r="355" spans="1:10">
      <c r="A355" s="133"/>
      <c r="B355" s="13"/>
      <c r="C355" s="13"/>
      <c r="D355" s="13"/>
      <c r="E355" s="13"/>
      <c r="F355" s="13"/>
      <c r="G355" s="13"/>
      <c r="H355" s="13"/>
      <c r="I355" s="13"/>
      <c r="J355" s="13"/>
    </row>
    <row r="356" spans="1:10">
      <c r="A356" s="133"/>
      <c r="B356" s="13"/>
      <c r="C356" s="13"/>
      <c r="D356" s="13"/>
      <c r="E356" s="13"/>
      <c r="F356" s="13"/>
      <c r="G356" s="13"/>
      <c r="H356" s="13"/>
      <c r="I356" s="13"/>
      <c r="J356" s="13"/>
    </row>
    <row r="357" spans="1:10">
      <c r="A357" s="133"/>
      <c r="B357" s="13"/>
      <c r="C357" s="13"/>
      <c r="D357" s="13"/>
      <c r="E357" s="13"/>
      <c r="F357" s="13"/>
      <c r="G357" s="13"/>
      <c r="H357" s="13"/>
      <c r="I357" s="13"/>
      <c r="J357" s="13"/>
    </row>
    <row r="358" spans="1:10">
      <c r="A358" s="133"/>
      <c r="B358" s="13"/>
      <c r="C358" s="13"/>
      <c r="D358" s="13"/>
      <c r="E358" s="13"/>
      <c r="F358" s="13"/>
      <c r="G358" s="13"/>
      <c r="H358" s="13"/>
      <c r="I358" s="13"/>
      <c r="J358" s="13"/>
    </row>
    <row r="359" spans="1:10">
      <c r="A359" s="133"/>
      <c r="B359" s="13"/>
      <c r="C359" s="13"/>
      <c r="D359" s="13"/>
      <c r="E359" s="13"/>
      <c r="F359" s="13"/>
      <c r="G359" s="13"/>
      <c r="H359" s="13"/>
      <c r="I359" s="13"/>
      <c r="J359" s="13"/>
    </row>
    <row r="360" spans="1:10">
      <c r="A360" s="133"/>
      <c r="B360" s="13"/>
      <c r="C360" s="13"/>
      <c r="D360" s="13"/>
      <c r="E360" s="13"/>
      <c r="F360" s="13"/>
      <c r="G360" s="13"/>
      <c r="H360" s="13"/>
      <c r="I360" s="13"/>
      <c r="J360" s="13"/>
    </row>
    <row r="361" spans="1:10">
      <c r="A361" s="133"/>
      <c r="B361" s="13"/>
      <c r="C361" s="13"/>
      <c r="D361" s="13"/>
      <c r="E361" s="13"/>
      <c r="F361" s="13"/>
      <c r="G361" s="13"/>
      <c r="H361" s="13"/>
      <c r="I361" s="13"/>
      <c r="J361" s="13"/>
    </row>
    <row r="362" spans="1:10">
      <c r="A362" s="133"/>
      <c r="B362" s="13"/>
      <c r="C362" s="13"/>
      <c r="D362" s="13"/>
      <c r="E362" s="13"/>
      <c r="F362" s="13"/>
      <c r="G362" s="13"/>
      <c r="H362" s="13"/>
      <c r="I362" s="13"/>
      <c r="J362" s="13"/>
    </row>
    <row r="363" spans="1:10">
      <c r="A363" s="133"/>
      <c r="B363" s="13"/>
      <c r="C363" s="13"/>
      <c r="D363" s="13"/>
      <c r="E363" s="13"/>
      <c r="F363" s="13"/>
      <c r="G363" s="13"/>
      <c r="H363" s="13"/>
      <c r="I363" s="13"/>
      <c r="J363" s="13"/>
    </row>
    <row r="364" spans="1:10">
      <c r="A364" s="133"/>
      <c r="B364" s="13"/>
      <c r="C364" s="13"/>
      <c r="D364" s="13"/>
      <c r="E364" s="13"/>
      <c r="F364" s="13"/>
      <c r="G364" s="13"/>
      <c r="H364" s="13"/>
      <c r="I364" s="13"/>
      <c r="J364" s="13"/>
    </row>
    <row r="365" spans="1:10">
      <c r="A365" s="133"/>
      <c r="B365" s="13"/>
      <c r="C365" s="13"/>
      <c r="D365" s="13"/>
      <c r="E365" s="13"/>
      <c r="F365" s="13"/>
      <c r="G365" s="13"/>
      <c r="H365" s="13"/>
      <c r="I365" s="13"/>
      <c r="J365" s="13"/>
    </row>
    <row r="366" spans="1:10">
      <c r="A366" s="133"/>
      <c r="B366" s="13"/>
      <c r="C366" s="13"/>
      <c r="D366" s="13"/>
      <c r="E366" s="13"/>
      <c r="F366" s="13"/>
      <c r="G366" s="13"/>
      <c r="H366" s="13"/>
      <c r="I366" s="13"/>
      <c r="J366" s="13"/>
    </row>
    <row r="367" spans="1:10">
      <c r="A367" s="133"/>
      <c r="B367" s="13"/>
      <c r="C367" s="13"/>
      <c r="D367" s="13"/>
      <c r="E367" s="13"/>
      <c r="F367" s="13"/>
      <c r="G367" s="13"/>
      <c r="H367" s="13"/>
      <c r="I367" s="13"/>
      <c r="J367" s="13"/>
    </row>
    <row r="368" spans="1:10">
      <c r="A368" s="133"/>
      <c r="B368" s="13"/>
      <c r="C368" s="13"/>
      <c r="D368" s="13"/>
      <c r="E368" s="13"/>
      <c r="F368" s="13"/>
      <c r="G368" s="13"/>
      <c r="H368" s="13"/>
      <c r="I368" s="13"/>
      <c r="J368" s="13"/>
    </row>
    <row r="369" spans="1:10">
      <c r="A369" s="133"/>
      <c r="B369" s="13"/>
      <c r="C369" s="13"/>
      <c r="D369" s="13"/>
      <c r="E369" s="13"/>
      <c r="F369" s="13"/>
      <c r="G369" s="13"/>
      <c r="H369" s="13"/>
      <c r="I369" s="13"/>
      <c r="J369" s="13"/>
    </row>
    <row r="370" spans="1:10">
      <c r="A370" s="133"/>
      <c r="B370" s="13"/>
      <c r="C370" s="13"/>
      <c r="D370" s="13"/>
      <c r="E370" s="13"/>
      <c r="F370" s="13"/>
      <c r="G370" s="13"/>
      <c r="H370" s="13"/>
      <c r="I370" s="13"/>
      <c r="J370" s="13"/>
    </row>
    <row r="371" spans="1:10">
      <c r="A371" s="133"/>
      <c r="B371" s="13"/>
      <c r="C371" s="13"/>
      <c r="D371" s="13"/>
      <c r="E371" s="13"/>
      <c r="F371" s="13"/>
      <c r="G371" s="13"/>
      <c r="H371" s="13"/>
      <c r="I371" s="13"/>
      <c r="J371" s="13"/>
    </row>
    <row r="372" spans="1:10">
      <c r="A372" s="133"/>
      <c r="B372" s="13"/>
      <c r="C372" s="13"/>
      <c r="D372" s="13"/>
      <c r="E372" s="13"/>
      <c r="F372" s="13"/>
      <c r="G372" s="13"/>
      <c r="H372" s="13"/>
      <c r="I372" s="13"/>
      <c r="J372" s="13"/>
    </row>
    <row r="373" spans="1:10">
      <c r="A373" s="133"/>
      <c r="B373" s="13"/>
      <c r="C373" s="13"/>
      <c r="D373" s="13"/>
      <c r="E373" s="13"/>
      <c r="F373" s="13"/>
      <c r="G373" s="13"/>
      <c r="H373" s="13"/>
      <c r="I373" s="13"/>
      <c r="J373" s="13"/>
    </row>
    <row r="374" spans="1:10">
      <c r="A374" s="133"/>
      <c r="B374" s="13"/>
      <c r="C374" s="13"/>
      <c r="D374" s="13"/>
      <c r="E374" s="13"/>
      <c r="F374" s="13"/>
      <c r="G374" s="13"/>
      <c r="H374" s="13"/>
      <c r="I374" s="13"/>
      <c r="J374" s="13"/>
    </row>
    <row r="375" spans="1:10">
      <c r="A375" s="133"/>
      <c r="B375" s="13"/>
      <c r="C375" s="13"/>
      <c r="D375" s="13"/>
      <c r="E375" s="13"/>
      <c r="F375" s="13"/>
      <c r="G375" s="13"/>
      <c r="H375" s="13"/>
      <c r="I375" s="13"/>
      <c r="J375" s="13"/>
    </row>
    <row r="376" spans="1:10">
      <c r="A376" s="133"/>
      <c r="B376" s="13"/>
      <c r="C376" s="13"/>
      <c r="D376" s="13"/>
      <c r="E376" s="13"/>
      <c r="F376" s="13"/>
      <c r="G376" s="13"/>
      <c r="H376" s="13"/>
      <c r="I376" s="13"/>
      <c r="J376" s="13"/>
    </row>
    <row r="377" spans="1:10">
      <c r="A377" s="133"/>
      <c r="B377" s="13"/>
      <c r="C377" s="13"/>
      <c r="D377" s="13"/>
      <c r="E377" s="13"/>
      <c r="F377" s="13"/>
      <c r="G377" s="13"/>
      <c r="H377" s="13"/>
      <c r="I377" s="13"/>
      <c r="J377" s="13"/>
    </row>
    <row r="378" spans="1:10">
      <c r="A378" s="133"/>
      <c r="B378" s="13"/>
      <c r="C378" s="13"/>
      <c r="D378" s="13"/>
      <c r="E378" s="13"/>
      <c r="F378" s="13"/>
      <c r="G378" s="13"/>
      <c r="H378" s="13"/>
      <c r="I378" s="13"/>
      <c r="J378" s="13"/>
    </row>
    <row r="379" spans="1:10">
      <c r="A379" s="133"/>
      <c r="B379" s="13"/>
      <c r="C379" s="13"/>
      <c r="D379" s="13"/>
      <c r="E379" s="13"/>
      <c r="F379" s="13"/>
      <c r="G379" s="13"/>
      <c r="H379" s="13"/>
      <c r="I379" s="13"/>
      <c r="J379" s="13"/>
    </row>
    <row r="380" spans="1:10">
      <c r="A380" s="133"/>
      <c r="B380" s="13"/>
      <c r="C380" s="13"/>
      <c r="D380" s="13"/>
      <c r="E380" s="13"/>
      <c r="F380" s="13"/>
      <c r="G380" s="13"/>
      <c r="H380" s="13"/>
      <c r="I380" s="13"/>
      <c r="J380" s="13"/>
    </row>
    <row r="381" spans="1:10">
      <c r="A381" s="133"/>
      <c r="B381" s="13"/>
      <c r="C381" s="13"/>
      <c r="D381" s="13"/>
      <c r="E381" s="13"/>
      <c r="F381" s="13"/>
      <c r="G381" s="13"/>
      <c r="H381" s="13"/>
      <c r="I381" s="13"/>
      <c r="J381" s="13"/>
    </row>
    <row r="382" spans="1:10">
      <c r="A382" s="133"/>
      <c r="B382" s="13"/>
      <c r="C382" s="13"/>
      <c r="D382" s="13"/>
      <c r="E382" s="13"/>
      <c r="F382" s="13"/>
      <c r="G382" s="13"/>
      <c r="H382" s="13"/>
      <c r="I382" s="13"/>
      <c r="J382" s="13"/>
    </row>
    <row r="383" spans="1:10">
      <c r="A383" s="133"/>
      <c r="B383" s="13"/>
      <c r="C383" s="13"/>
      <c r="D383" s="13"/>
      <c r="E383" s="13"/>
      <c r="F383" s="13"/>
      <c r="G383" s="13"/>
      <c r="H383" s="13"/>
      <c r="I383" s="13"/>
      <c r="J383" s="13"/>
    </row>
    <row r="384" spans="1:10">
      <c r="A384" s="133"/>
      <c r="B384" s="13"/>
      <c r="C384" s="13"/>
      <c r="D384" s="13"/>
      <c r="E384" s="13"/>
      <c r="F384" s="13"/>
      <c r="G384" s="13"/>
      <c r="H384" s="13"/>
      <c r="I384" s="13"/>
      <c r="J384" s="13"/>
    </row>
    <row r="385" spans="1:10">
      <c r="A385" s="133"/>
      <c r="B385" s="13"/>
      <c r="C385" s="13"/>
      <c r="D385" s="13"/>
      <c r="E385" s="13"/>
      <c r="F385" s="13"/>
      <c r="G385" s="13"/>
      <c r="H385" s="13"/>
      <c r="I385" s="13"/>
      <c r="J385" s="13"/>
    </row>
    <row r="386" spans="1:10">
      <c r="A386" s="133"/>
      <c r="B386" s="13"/>
      <c r="C386" s="13"/>
      <c r="D386" s="13"/>
      <c r="E386" s="13"/>
      <c r="F386" s="13"/>
      <c r="G386" s="13"/>
      <c r="H386" s="13"/>
      <c r="I386" s="13"/>
      <c r="J386" s="13"/>
    </row>
    <row r="387" spans="1:10">
      <c r="A387" s="133"/>
      <c r="B387" s="13"/>
      <c r="C387" s="13"/>
      <c r="D387" s="13"/>
      <c r="E387" s="13"/>
      <c r="F387" s="13"/>
      <c r="G387" s="13"/>
      <c r="H387" s="13"/>
      <c r="I387" s="13"/>
      <c r="J387" s="13"/>
    </row>
    <row r="388" spans="1:10">
      <c r="A388" s="133"/>
      <c r="B388" s="13"/>
      <c r="C388" s="13"/>
      <c r="D388" s="13"/>
      <c r="E388" s="13"/>
      <c r="F388" s="13"/>
      <c r="G388" s="13"/>
      <c r="H388" s="13"/>
      <c r="I388" s="13"/>
      <c r="J388" s="13"/>
    </row>
    <row r="389" spans="1:10">
      <c r="A389" s="133"/>
      <c r="B389" s="13"/>
      <c r="C389" s="13"/>
      <c r="D389" s="13"/>
      <c r="E389" s="13"/>
      <c r="F389" s="13"/>
      <c r="G389" s="13"/>
      <c r="H389" s="13"/>
      <c r="I389" s="13"/>
      <c r="J389" s="13"/>
    </row>
    <row r="390" spans="1:10">
      <c r="A390" s="133"/>
      <c r="B390" s="13"/>
      <c r="C390" s="13"/>
      <c r="D390" s="13"/>
      <c r="E390" s="13"/>
      <c r="F390" s="13"/>
      <c r="G390" s="13"/>
      <c r="H390" s="13"/>
      <c r="I390" s="13"/>
      <c r="J390" s="13"/>
    </row>
    <row r="391" spans="1:10">
      <c r="A391" s="133"/>
      <c r="B391" s="13"/>
      <c r="C391" s="13"/>
      <c r="D391" s="13"/>
      <c r="E391" s="13"/>
      <c r="F391" s="13"/>
      <c r="G391" s="13"/>
      <c r="H391" s="13"/>
      <c r="I391" s="13"/>
      <c r="J391" s="13"/>
    </row>
    <row r="392" spans="1:10">
      <c r="A392" s="133"/>
      <c r="B392" s="13"/>
      <c r="C392" s="13"/>
      <c r="D392" s="13"/>
      <c r="E392" s="13"/>
      <c r="F392" s="13"/>
      <c r="G392" s="13"/>
      <c r="H392" s="13"/>
      <c r="I392" s="13"/>
      <c r="J392" s="13"/>
    </row>
    <row r="393" spans="1:10">
      <c r="A393" s="133"/>
      <c r="B393" s="13"/>
      <c r="C393" s="13"/>
      <c r="D393" s="13"/>
      <c r="E393" s="13"/>
      <c r="F393" s="13"/>
      <c r="G393" s="13"/>
      <c r="H393" s="13"/>
      <c r="I393" s="13"/>
      <c r="J393" s="13"/>
    </row>
    <row r="394" spans="1:10">
      <c r="A394" s="133"/>
      <c r="B394" s="13"/>
      <c r="C394" s="13"/>
      <c r="D394" s="13"/>
      <c r="E394" s="13"/>
      <c r="F394" s="13"/>
      <c r="G394" s="13"/>
      <c r="H394" s="13"/>
      <c r="I394" s="13"/>
      <c r="J394" s="13"/>
    </row>
    <row r="395" spans="1:10">
      <c r="A395" s="133"/>
      <c r="B395" s="13"/>
      <c r="C395" s="13"/>
      <c r="D395" s="13"/>
      <c r="E395" s="13"/>
      <c r="F395" s="13"/>
      <c r="G395" s="13"/>
      <c r="H395" s="13"/>
      <c r="I395" s="13"/>
      <c r="J395" s="13"/>
    </row>
    <row r="396" spans="1:10">
      <c r="A396" s="133"/>
      <c r="B396" s="13"/>
      <c r="C396" s="13"/>
      <c r="D396" s="13"/>
      <c r="E396" s="13"/>
      <c r="F396" s="13"/>
      <c r="G396" s="13"/>
      <c r="H396" s="13"/>
      <c r="I396" s="13"/>
      <c r="J396" s="13"/>
    </row>
    <row r="397" spans="1:10">
      <c r="A397" s="133"/>
      <c r="B397" s="13"/>
      <c r="C397" s="13"/>
      <c r="D397" s="13"/>
      <c r="E397" s="13"/>
      <c r="F397" s="13"/>
      <c r="G397" s="13"/>
      <c r="H397" s="13"/>
      <c r="I397" s="13"/>
      <c r="J397" s="13"/>
    </row>
    <row r="398" spans="1:10">
      <c r="A398" s="133"/>
      <c r="B398" s="13"/>
      <c r="C398" s="13"/>
      <c r="D398" s="13"/>
      <c r="E398" s="13"/>
      <c r="F398" s="13"/>
      <c r="G398" s="13"/>
      <c r="H398" s="13"/>
      <c r="I398" s="13"/>
      <c r="J398" s="13"/>
    </row>
    <row r="399" spans="1:10">
      <c r="A399" s="133"/>
      <c r="B399" s="13"/>
      <c r="C399" s="13"/>
      <c r="D399" s="13"/>
      <c r="E399" s="13"/>
      <c r="F399" s="13"/>
      <c r="G399" s="13"/>
      <c r="H399" s="13"/>
      <c r="I399" s="13"/>
      <c r="J399" s="13"/>
    </row>
    <row r="400" spans="1:10">
      <c r="A400" s="133"/>
      <c r="B400" s="13"/>
      <c r="C400" s="13"/>
      <c r="D400" s="13"/>
      <c r="E400" s="13"/>
      <c r="F400" s="13"/>
      <c r="G400" s="13"/>
      <c r="H400" s="13"/>
      <c r="I400" s="13"/>
      <c r="J400" s="13"/>
    </row>
    <row r="401" spans="1:10">
      <c r="A401" s="133"/>
      <c r="B401" s="13"/>
      <c r="C401" s="13"/>
      <c r="D401" s="13"/>
      <c r="E401" s="13"/>
      <c r="F401" s="13"/>
      <c r="G401" s="13"/>
      <c r="H401" s="13"/>
      <c r="I401" s="13"/>
      <c r="J401" s="13"/>
    </row>
    <row r="402" spans="1:10">
      <c r="A402" s="133"/>
      <c r="B402" s="13"/>
      <c r="C402" s="13"/>
      <c r="D402" s="13"/>
      <c r="E402" s="13"/>
      <c r="F402" s="13"/>
      <c r="G402" s="13"/>
      <c r="H402" s="13"/>
      <c r="I402" s="13"/>
      <c r="J402" s="13"/>
    </row>
    <row r="403" spans="1:10">
      <c r="A403" s="133"/>
      <c r="B403" s="13"/>
      <c r="C403" s="13"/>
      <c r="D403" s="13"/>
      <c r="E403" s="13"/>
      <c r="F403" s="13"/>
      <c r="G403" s="13"/>
      <c r="H403" s="13"/>
      <c r="I403" s="13"/>
      <c r="J403" s="13"/>
    </row>
    <row r="404" spans="1:10">
      <c r="A404" s="133"/>
      <c r="B404" s="13"/>
      <c r="C404" s="13"/>
      <c r="D404" s="13"/>
      <c r="E404" s="13"/>
      <c r="F404" s="13"/>
      <c r="G404" s="13"/>
      <c r="H404" s="13"/>
      <c r="I404" s="13"/>
      <c r="J404" s="13"/>
    </row>
    <row r="405" spans="1:10">
      <c r="A405" s="133"/>
      <c r="B405" s="13"/>
      <c r="C405" s="13"/>
      <c r="D405" s="13"/>
      <c r="E405" s="13"/>
      <c r="F405" s="13"/>
      <c r="G405" s="13"/>
      <c r="H405" s="13"/>
      <c r="I405" s="13"/>
      <c r="J405" s="13"/>
    </row>
    <row r="406" spans="1:10">
      <c r="A406" s="133"/>
      <c r="B406" s="13"/>
      <c r="C406" s="13"/>
      <c r="D406" s="13"/>
      <c r="E406" s="13"/>
      <c r="F406" s="13"/>
      <c r="G406" s="13"/>
      <c r="H406" s="13"/>
      <c r="I406" s="13"/>
      <c r="J406" s="13"/>
    </row>
    <row r="407" spans="1:10">
      <c r="A407" s="133"/>
      <c r="B407" s="13"/>
      <c r="C407" s="13"/>
      <c r="D407" s="13"/>
      <c r="E407" s="13"/>
      <c r="F407" s="13"/>
      <c r="G407" s="13"/>
      <c r="H407" s="13"/>
      <c r="I407" s="13"/>
      <c r="J407" s="13"/>
    </row>
    <row r="408" spans="1:10">
      <c r="A408" s="133"/>
      <c r="B408" s="13"/>
      <c r="C408" s="13"/>
      <c r="D408" s="13"/>
      <c r="E408" s="13"/>
      <c r="F408" s="13"/>
      <c r="G408" s="13"/>
      <c r="H408" s="13"/>
      <c r="I408" s="13"/>
      <c r="J408" s="13"/>
    </row>
    <row r="409" spans="1:10">
      <c r="A409" s="133"/>
      <c r="B409" s="13"/>
      <c r="C409" s="13"/>
      <c r="D409" s="13"/>
      <c r="E409" s="13"/>
      <c r="F409" s="13"/>
      <c r="G409" s="13"/>
      <c r="H409" s="13"/>
      <c r="I409" s="13"/>
      <c r="J409" s="13"/>
    </row>
    <row r="410" spans="1:10">
      <c r="A410" s="133"/>
      <c r="B410" s="13"/>
      <c r="C410" s="13"/>
      <c r="D410" s="13"/>
      <c r="E410" s="13"/>
      <c r="F410" s="13"/>
      <c r="G410" s="13"/>
      <c r="H410" s="13"/>
      <c r="I410" s="13"/>
      <c r="J410" s="13"/>
    </row>
    <row r="411" spans="1:10">
      <c r="A411" s="133"/>
      <c r="B411" s="13"/>
      <c r="C411" s="13"/>
      <c r="D411" s="13"/>
      <c r="E411" s="13"/>
      <c r="F411" s="13"/>
      <c r="G411" s="13"/>
      <c r="H411" s="13"/>
      <c r="I411" s="13"/>
      <c r="J411" s="13"/>
    </row>
    <row r="412" spans="1:10">
      <c r="A412" s="133"/>
      <c r="B412" s="13"/>
      <c r="C412" s="13"/>
      <c r="D412" s="13"/>
      <c r="E412" s="13"/>
      <c r="F412" s="13"/>
      <c r="G412" s="13"/>
      <c r="H412" s="13"/>
      <c r="I412" s="13"/>
      <c r="J412" s="13"/>
    </row>
    <row r="413" spans="1:10">
      <c r="A413" s="133"/>
      <c r="B413" s="13"/>
      <c r="C413" s="13"/>
      <c r="D413" s="13"/>
      <c r="E413" s="13"/>
      <c r="F413" s="13"/>
      <c r="G413" s="13"/>
      <c r="H413" s="13"/>
      <c r="I413" s="13"/>
      <c r="J413" s="13"/>
    </row>
    <row r="414" spans="1:10">
      <c r="A414" s="133"/>
      <c r="B414" s="13"/>
      <c r="C414" s="13"/>
      <c r="D414" s="13"/>
      <c r="E414" s="13"/>
      <c r="F414" s="13"/>
      <c r="G414" s="13"/>
      <c r="H414" s="13"/>
      <c r="I414" s="13"/>
      <c r="J414" s="13"/>
    </row>
    <row r="415" spans="1:10">
      <c r="A415" s="133"/>
      <c r="B415" s="13"/>
      <c r="C415" s="13"/>
      <c r="D415" s="13"/>
      <c r="E415" s="13"/>
      <c r="F415" s="13"/>
      <c r="G415" s="13"/>
      <c r="H415" s="13"/>
      <c r="I415" s="13"/>
      <c r="J415" s="13"/>
    </row>
    <row r="416" spans="1:10">
      <c r="A416" s="133"/>
      <c r="B416" s="13"/>
      <c r="C416" s="13"/>
      <c r="D416" s="13"/>
      <c r="E416" s="13"/>
      <c r="F416" s="13"/>
      <c r="G416" s="13"/>
      <c r="H416" s="13"/>
      <c r="I416" s="13"/>
      <c r="J416" s="13"/>
    </row>
    <row r="417" spans="1:10">
      <c r="A417" s="133"/>
      <c r="B417" s="13"/>
      <c r="C417" s="13"/>
      <c r="D417" s="13"/>
      <c r="E417" s="13"/>
      <c r="F417" s="13"/>
      <c r="G417" s="13"/>
      <c r="H417" s="13"/>
      <c r="I417" s="13"/>
      <c r="J417" s="13"/>
    </row>
    <row r="418" spans="1:10">
      <c r="A418" s="133"/>
      <c r="B418" s="13"/>
      <c r="C418" s="13"/>
      <c r="D418" s="13"/>
      <c r="E418" s="13"/>
      <c r="F418" s="13"/>
      <c r="G418" s="13"/>
      <c r="H418" s="13"/>
      <c r="I418" s="13"/>
      <c r="J418" s="13"/>
    </row>
    <row r="419" spans="1:10">
      <c r="A419" s="133"/>
      <c r="B419" s="13"/>
      <c r="C419" s="13"/>
      <c r="D419" s="13"/>
      <c r="E419" s="13"/>
      <c r="F419" s="13"/>
      <c r="G419" s="13"/>
      <c r="H419" s="13"/>
      <c r="I419" s="13"/>
      <c r="J419" s="13"/>
    </row>
    <row r="420" spans="1:10">
      <c r="A420" s="133"/>
      <c r="B420" s="13"/>
      <c r="C420" s="13"/>
      <c r="D420" s="13"/>
      <c r="E420" s="13"/>
      <c r="F420" s="13"/>
      <c r="G420" s="13"/>
      <c r="H420" s="13"/>
      <c r="I420" s="13"/>
      <c r="J420" s="13"/>
    </row>
    <row r="421" spans="1:10">
      <c r="A421" s="133"/>
      <c r="B421" s="13"/>
      <c r="C421" s="13"/>
      <c r="D421" s="13"/>
      <c r="E421" s="13"/>
      <c r="F421" s="13"/>
      <c r="G421" s="13"/>
      <c r="H421" s="13"/>
      <c r="I421" s="13"/>
      <c r="J421" s="13"/>
    </row>
    <row r="422" spans="1:10">
      <c r="A422" s="133"/>
      <c r="B422" s="13"/>
      <c r="C422" s="13"/>
      <c r="D422" s="13"/>
      <c r="E422" s="13"/>
      <c r="F422" s="13"/>
      <c r="G422" s="13"/>
      <c r="H422" s="13"/>
      <c r="I422" s="13"/>
      <c r="J422" s="13"/>
    </row>
    <row r="423" spans="1:10">
      <c r="A423" s="133"/>
      <c r="B423" s="13"/>
      <c r="C423" s="13"/>
      <c r="D423" s="13"/>
      <c r="E423" s="13"/>
      <c r="F423" s="13"/>
      <c r="G423" s="13"/>
      <c r="H423" s="13"/>
      <c r="I423" s="13"/>
      <c r="J423" s="13"/>
    </row>
    <row r="424" spans="1:10">
      <c r="A424" s="133"/>
      <c r="B424" s="13"/>
      <c r="C424" s="13"/>
      <c r="D424" s="13"/>
      <c r="E424" s="13"/>
      <c r="F424" s="13"/>
      <c r="G424" s="13"/>
      <c r="H424" s="13"/>
      <c r="I424" s="13"/>
      <c r="J424" s="13"/>
    </row>
    <row r="425" spans="1:10">
      <c r="A425" s="133"/>
      <c r="B425" s="13"/>
      <c r="C425" s="13"/>
      <c r="D425" s="13"/>
      <c r="E425" s="13"/>
      <c r="F425" s="13"/>
      <c r="G425" s="13"/>
      <c r="H425" s="13"/>
      <c r="I425" s="13"/>
      <c r="J425" s="13"/>
    </row>
    <row r="426" spans="1:10">
      <c r="A426" s="133"/>
      <c r="B426" s="13"/>
      <c r="C426" s="13"/>
      <c r="D426" s="13"/>
      <c r="E426" s="13"/>
      <c r="F426" s="13"/>
      <c r="G426" s="13"/>
      <c r="H426" s="13"/>
      <c r="I426" s="13"/>
      <c r="J426" s="13"/>
    </row>
    <row r="427" spans="1:10">
      <c r="A427" s="133"/>
      <c r="B427" s="13"/>
      <c r="C427" s="13"/>
      <c r="D427" s="13"/>
      <c r="E427" s="13"/>
      <c r="F427" s="13"/>
      <c r="G427" s="13"/>
      <c r="H427" s="13"/>
      <c r="I427" s="13"/>
      <c r="J427" s="13"/>
    </row>
    <row r="428" spans="1:10">
      <c r="A428" s="133"/>
      <c r="B428" s="13"/>
      <c r="C428" s="13"/>
      <c r="D428" s="13"/>
      <c r="E428" s="13"/>
      <c r="F428" s="13"/>
      <c r="G428" s="13"/>
      <c r="H428" s="13"/>
      <c r="I428" s="13"/>
      <c r="J428" s="13"/>
    </row>
    <row r="429" spans="1:10">
      <c r="A429" s="133"/>
      <c r="B429" s="13"/>
      <c r="C429" s="13"/>
      <c r="D429" s="13"/>
      <c r="E429" s="13"/>
      <c r="F429" s="13"/>
      <c r="G429" s="13"/>
      <c r="H429" s="13"/>
      <c r="I429" s="13"/>
      <c r="J429" s="13"/>
    </row>
    <row r="430" spans="1:10">
      <c r="A430" s="133"/>
      <c r="B430" s="13"/>
      <c r="C430" s="13"/>
      <c r="D430" s="13"/>
      <c r="E430" s="13"/>
      <c r="F430" s="13"/>
      <c r="G430" s="13"/>
      <c r="H430" s="13"/>
      <c r="I430" s="13"/>
      <c r="J430" s="13"/>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Du kien VonNSDP 2019</vt:lpstr>
      <vt:lpstr>TC.ĐM 2016-2020(không in)</vt:lpstr>
      <vt:lpstr>ODAKH NSNN</vt:lpstr>
      <vt:lpstr>NC07 TH TPCP</vt:lpstr>
      <vt:lpstr>NC08 TPCP KH</vt:lpstr>
      <vt:lpstr>NC11 PPP</vt:lpstr>
      <vt:lpstr>BM18 BC nam DP</vt:lpstr>
      <vt:lpstr>Quy2THDP</vt:lpstr>
      <vt:lpstr>Quy2TPCPDP</vt:lpstr>
      <vt:lpstr>Quy2von khac Dp</vt:lpstr>
      <vt:lpstr>Quy2THDP!_ftnref1</vt:lpstr>
      <vt:lpstr>'BM18 BC nam DP'!Print_Area</vt:lpstr>
      <vt:lpstr>'Du kien VonNSDP 2019'!Print_Area</vt:lpstr>
      <vt:lpstr>'NC07 TH TPCP'!Print_Area</vt:lpstr>
      <vt:lpstr>'NC08 TPCP KH'!Print_Area</vt:lpstr>
      <vt:lpstr>'NC11 PPP'!Print_Area</vt:lpstr>
      <vt:lpstr>'ODAKH NSNN'!Print_Area</vt:lpstr>
      <vt:lpstr>Quy2THDP!Print_Area</vt:lpstr>
      <vt:lpstr>Quy2TPCPDP!Print_Area</vt:lpstr>
      <vt:lpstr>'Quy2von khac Dp'!Print_Area</vt:lpstr>
      <vt:lpstr>'BM18 BC nam DP'!Print_Titles</vt:lpstr>
      <vt:lpstr>'Du kien VonNSDP 2019'!Print_Titles</vt:lpstr>
      <vt:lpstr>'NC07 TH TPCP'!Print_Titles</vt:lpstr>
      <vt:lpstr>'NC08 TPCP KH'!Print_Titles</vt:lpstr>
      <vt:lpstr>'ODAKH NSNN'!Print_Titles</vt:lpstr>
      <vt:lpstr>Quy2THDP!Print_Titles</vt:lpstr>
      <vt:lpstr>Quy2TPCPDP!Print_Titles</vt:lpstr>
      <vt:lpstr>'Quy2von khac Dp'!Print_Titles</vt:lpstr>
      <vt:lpstr>'TC.ĐM 2016-2020(không 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Windows User</cp:lastModifiedBy>
  <cp:lastPrinted>2018-12-10T02:30:43Z</cp:lastPrinted>
  <dcterms:created xsi:type="dcterms:W3CDTF">2016-08-23T02:19:18Z</dcterms:created>
  <dcterms:modified xsi:type="dcterms:W3CDTF">2018-12-10T07:39:34Z</dcterms:modified>
</cp:coreProperties>
</file>